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J:\AEP\Projections-AEP\2022 GA Applications\2022 Applications\Tifton - VOA\2022-0xxMgnlVlls\"/>
    </mc:Choice>
  </mc:AlternateContent>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1" activeTab="1"/>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936" i="99" l="1"/>
  <c r="A1928" i="99"/>
  <c r="O1926" i="99"/>
  <c r="Q1926" i="99" s="1"/>
  <c r="Q1925" i="99"/>
  <c r="O1925" i="99"/>
  <c r="A1920" i="99"/>
  <c r="P1918" i="99"/>
  <c r="O1918" i="99"/>
  <c r="P1914" i="99"/>
  <c r="L1914" i="99"/>
  <c r="A1910" i="99"/>
  <c r="P1908" i="99"/>
  <c r="O1908" i="99"/>
  <c r="A1904" i="99"/>
  <c r="O1902" i="99"/>
  <c r="Q1899" i="99"/>
  <c r="O1899" i="99"/>
  <c r="Q1898" i="99"/>
  <c r="O1898" i="99"/>
  <c r="Q1897" i="99"/>
  <c r="O1897" i="99"/>
  <c r="O1891" i="99"/>
  <c r="O1890" i="99"/>
  <c r="A1883" i="99"/>
  <c r="Q1879" i="99"/>
  <c r="B1877" i="99"/>
  <c r="Q1872" i="99"/>
  <c r="L1870" i="99"/>
  <c r="D1870" i="99"/>
  <c r="L1868" i="99"/>
  <c r="J1868" i="99"/>
  <c r="A1864" i="99"/>
  <c r="O1862" i="99"/>
  <c r="O1861" i="99"/>
  <c r="O1860" i="99"/>
  <c r="P1859" i="99"/>
  <c r="O1859" i="99"/>
  <c r="L1859" i="99"/>
  <c r="M1857" i="99"/>
  <c r="M1853" i="99"/>
  <c r="J1852" i="99"/>
  <c r="J1851" i="99"/>
  <c r="J1850" i="99"/>
  <c r="J1849" i="99"/>
  <c r="J1848" i="99"/>
  <c r="J1847" i="99"/>
  <c r="J1846" i="99"/>
  <c r="J1845" i="99"/>
  <c r="J1853" i="99" s="1"/>
  <c r="J1844" i="99"/>
  <c r="J1843" i="99"/>
  <c r="J1842" i="99"/>
  <c r="O1840" i="99"/>
  <c r="P1839" i="99"/>
  <c r="O1839" i="99"/>
  <c r="Q1839" i="99" s="1"/>
  <c r="O1837" i="99"/>
  <c r="O1836" i="99"/>
  <c r="O1835" i="99"/>
  <c r="S1834" i="99"/>
  <c r="R1834" i="99"/>
  <c r="O1834" i="99"/>
  <c r="K1832" i="99"/>
  <c r="A1828" i="99"/>
  <c r="I1825" i="99"/>
  <c r="P1824" i="99"/>
  <c r="AH1543" i="99" s="1"/>
  <c r="O1824" i="99"/>
  <c r="O1820" i="99"/>
  <c r="O1819" i="99"/>
  <c r="O1818" i="99"/>
  <c r="O1817" i="99"/>
  <c r="O1815" i="99"/>
  <c r="O1814" i="99"/>
  <c r="O1813" i="99"/>
  <c r="O1812" i="99"/>
  <c r="O1811" i="99"/>
  <c r="K1810" i="99"/>
  <c r="O1809" i="99"/>
  <c r="P1808" i="99"/>
  <c r="J1808" i="99"/>
  <c r="A1804" i="99"/>
  <c r="Q1802" i="99"/>
  <c r="O1802" i="99"/>
  <c r="Q1801" i="99"/>
  <c r="O1801" i="99"/>
  <c r="I1801" i="99"/>
  <c r="A1796" i="99"/>
  <c r="O1794" i="99"/>
  <c r="O1793" i="99"/>
  <c r="O1792" i="99"/>
  <c r="O1790" i="99"/>
  <c r="O1789" i="99"/>
  <c r="Q1788" i="99"/>
  <c r="O1788" i="99"/>
  <c r="O1787" i="99"/>
  <c r="O1786" i="99"/>
  <c r="O1785" i="99"/>
  <c r="Q1785" i="99" s="1"/>
  <c r="O1783" i="99"/>
  <c r="O1782" i="99"/>
  <c r="O1781" i="99"/>
  <c r="I1779" i="99"/>
  <c r="I1778" i="99"/>
  <c r="I1777" i="99"/>
  <c r="L1775" i="99"/>
  <c r="A1771" i="99"/>
  <c r="B1769" i="99"/>
  <c r="Q1767" i="99"/>
  <c r="O1767" i="99"/>
  <c r="Q1766" i="99"/>
  <c r="O1766" i="99"/>
  <c r="O1759" i="99"/>
  <c r="O1757" i="99"/>
  <c r="O1755" i="99"/>
  <c r="O1754" i="99"/>
  <c r="O1753" i="99"/>
  <c r="A1747" i="99"/>
  <c r="O1745" i="99"/>
  <c r="Q1745" i="99" s="1"/>
  <c r="O1744" i="99"/>
  <c r="Q1744" i="99" s="1"/>
  <c r="Q1743" i="99"/>
  <c r="O1743" i="99"/>
  <c r="A1738" i="99"/>
  <c r="M1735" i="99"/>
  <c r="I1735" i="99"/>
  <c r="G1735" i="99"/>
  <c r="M1734" i="99"/>
  <c r="I1734" i="99"/>
  <c r="G1734" i="99"/>
  <c r="O1733" i="99"/>
  <c r="P1732" i="99"/>
  <c r="O1732" i="99"/>
  <c r="L1732" i="99" s="1"/>
  <c r="E1732" i="99"/>
  <c r="A1728" i="99"/>
  <c r="O1726" i="99"/>
  <c r="O1725" i="99"/>
  <c r="M1725" i="99" s="1"/>
  <c r="Q1718" i="99"/>
  <c r="O1718" i="99"/>
  <c r="O1717" i="99"/>
  <c r="Q1717" i="99" s="1"/>
  <c r="K1716" i="99"/>
  <c r="H1715" i="99"/>
  <c r="A1710" i="99"/>
  <c r="I1706" i="99"/>
  <c r="E1706" i="99"/>
  <c r="I1705" i="99"/>
  <c r="E1705" i="99"/>
  <c r="N1704" i="99"/>
  <c r="I1704" i="99"/>
  <c r="E1704" i="99"/>
  <c r="E1703" i="99"/>
  <c r="Q1701" i="99"/>
  <c r="O1701" i="99"/>
  <c r="J1699" i="99"/>
  <c r="J1698" i="99"/>
  <c r="O1697" i="99"/>
  <c r="Q1697" i="99" s="1"/>
  <c r="A1691" i="99"/>
  <c r="O1689" i="99"/>
  <c r="O1688" i="99"/>
  <c r="O1686" i="99"/>
  <c r="O1685" i="99"/>
  <c r="O1684" i="99"/>
  <c r="O1681" i="99"/>
  <c r="L1681" i="99"/>
  <c r="P1680" i="99"/>
  <c r="AD1532" i="99" s="1"/>
  <c r="A1676" i="99"/>
  <c r="Q1674" i="99"/>
  <c r="O1674" i="99"/>
  <c r="L1674" i="99" s="1"/>
  <c r="O1672" i="99"/>
  <c r="Q1672" i="99" s="1"/>
  <c r="O1671" i="99"/>
  <c r="Q1671" i="99" s="1"/>
  <c r="O1670" i="99"/>
  <c r="Q1670" i="99" s="1"/>
  <c r="V1667" i="99"/>
  <c r="Q1667" i="99"/>
  <c r="M1667" i="99"/>
  <c r="V1666" i="99"/>
  <c r="Q1666" i="99"/>
  <c r="M1666" i="99"/>
  <c r="M1665" i="99"/>
  <c r="M1664" i="99"/>
  <c r="Q1662" i="99"/>
  <c r="O1662" i="99"/>
  <c r="A1655"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P1642" i="99"/>
  <c r="O1642" i="99"/>
  <c r="H1642" i="99"/>
  <c r="A1637" i="99"/>
  <c r="O1634" i="99"/>
  <c r="O1633" i="99"/>
  <c r="J1633" i="99"/>
  <c r="O1632" i="99"/>
  <c r="O1631" i="99"/>
  <c r="O1630" i="99"/>
  <c r="J1630" i="99"/>
  <c r="H1630" i="99"/>
  <c r="Q1629" i="99"/>
  <c r="O1629" i="99"/>
  <c r="J1628" i="99"/>
  <c r="H1626" i="99"/>
  <c r="O1624" i="99"/>
  <c r="O1623" i="99"/>
  <c r="M1625" i="99" s="1"/>
  <c r="O1622" i="99"/>
  <c r="O1617" i="99"/>
  <c r="J1617" i="99"/>
  <c r="F1617" i="99"/>
  <c r="J1616" i="99"/>
  <c r="F1616" i="99"/>
  <c r="O1615" i="99"/>
  <c r="J1615" i="99"/>
  <c r="F1615" i="99"/>
  <c r="J1614" i="99"/>
  <c r="F1614" i="99"/>
  <c r="O1609" i="99"/>
  <c r="O1608" i="99"/>
  <c r="O1607" i="99"/>
  <c r="O1606" i="99"/>
  <c r="O1605" i="99"/>
  <c r="L1603" i="99"/>
  <c r="A1599" i="99"/>
  <c r="O1597" i="99"/>
  <c r="O1596" i="99"/>
  <c r="O1595" i="99"/>
  <c r="O1589" i="99"/>
  <c r="J1588" i="99"/>
  <c r="H1588" i="99"/>
  <c r="Q1585" i="99"/>
  <c r="O1585" i="99"/>
  <c r="Q1584" i="99"/>
  <c r="O1584" i="99"/>
  <c r="J1584" i="99"/>
  <c r="I1581" i="99"/>
  <c r="L1579" i="99"/>
  <c r="J1579" i="99"/>
  <c r="O1565" i="99"/>
  <c r="P1562" i="99" s="1"/>
  <c r="J1565" i="99"/>
  <c r="P1558" i="99" s="1"/>
  <c r="F1565" i="99"/>
  <c r="P1557" i="99" s="1"/>
  <c r="L1553" i="99"/>
  <c r="K1553" i="99"/>
  <c r="J1553" i="99"/>
  <c r="I1553" i="99"/>
  <c r="H1553" i="99"/>
  <c r="G1553" i="99"/>
  <c r="M1550" i="99"/>
  <c r="J1603" i="99" s="1"/>
  <c r="AI1549" i="99"/>
  <c r="AH1549" i="99"/>
  <c r="AG1549" i="99"/>
  <c r="AF1549" i="99"/>
  <c r="AC1549" i="99"/>
  <c r="AB1549" i="99"/>
  <c r="AA1549" i="99"/>
  <c r="Z1549" i="99"/>
  <c r="AI1548" i="99"/>
  <c r="AH1548" i="99"/>
  <c r="AG1548" i="99"/>
  <c r="AF1548" i="99"/>
  <c r="AC1548" i="99"/>
  <c r="AB1548" i="99"/>
  <c r="AA1548" i="99"/>
  <c r="Z1548" i="99"/>
  <c r="M1545" i="99"/>
  <c r="L1593" i="99" s="1"/>
  <c r="AI1543" i="99"/>
  <c r="AG1543" i="99"/>
  <c r="AD1543" i="99"/>
  <c r="AC1543" i="99"/>
  <c r="AB1543" i="99"/>
  <c r="AA1543" i="99"/>
  <c r="X1543" i="99"/>
  <c r="P1540" i="99"/>
  <c r="AT1539" i="99"/>
  <c r="P1539" i="99"/>
  <c r="P1538" i="99"/>
  <c r="P1537" i="99"/>
  <c r="AD1536" i="99"/>
  <c r="X1536" i="99"/>
  <c r="P1536" i="99"/>
  <c r="P1535" i="99"/>
  <c r="P1534" i="99"/>
  <c r="P1533" i="99"/>
  <c r="P1532" i="99"/>
  <c r="AE1530" i="99"/>
  <c r="AD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A1485" i="99"/>
  <c r="A1479" i="99"/>
  <c r="P1477" i="99"/>
  <c r="P1476" i="99"/>
  <c r="P1475" i="99"/>
  <c r="P1474" i="99"/>
  <c r="P1473" i="99"/>
  <c r="P1472" i="99"/>
  <c r="P1471" i="99"/>
  <c r="P1470" i="99"/>
  <c r="P1469" i="99"/>
  <c r="P1468" i="99"/>
  <c r="A1462" i="99"/>
  <c r="P1460" i="99"/>
  <c r="B1457" i="99"/>
  <c r="M1455" i="99"/>
  <c r="G1455" i="99"/>
  <c r="G1454" i="99"/>
  <c r="P1453" i="99"/>
  <c r="N1450" i="99"/>
  <c r="P1449" i="99"/>
  <c r="K1449" i="99"/>
  <c r="J1449" i="99"/>
  <c r="AG1447" i="99"/>
  <c r="AF1447" i="99" s="1"/>
  <c r="AE1447" i="99" s="1"/>
  <c r="AD1447" i="99" s="1"/>
  <c r="AC1447" i="99" s="1"/>
  <c r="AB1447" i="99" s="1"/>
  <c r="AA1447" i="99" s="1"/>
  <c r="Z1447" i="99" s="1"/>
  <c r="N1447" i="99"/>
  <c r="P1446" i="99"/>
  <c r="K1446" i="99"/>
  <c r="N1446" i="99" s="1"/>
  <c r="J1446" i="99"/>
  <c r="AG1445" i="99"/>
  <c r="AF1445" i="99" s="1"/>
  <c r="AE1445" i="99" s="1"/>
  <c r="AD1445" i="99" s="1"/>
  <c r="AC1445" i="99" s="1"/>
  <c r="AB1445" i="99" s="1"/>
  <c r="AA1445" i="99" s="1"/>
  <c r="Z1445" i="99" s="1"/>
  <c r="N1444" i="99"/>
  <c r="P1443" i="99"/>
  <c r="K1443" i="99"/>
  <c r="J1443" i="99"/>
  <c r="P1439" i="99"/>
  <c r="J1439" i="99"/>
  <c r="P1438" i="99"/>
  <c r="J1438" i="99"/>
  <c r="P1437" i="99"/>
  <c r="P1436" i="99"/>
  <c r="P1435" i="99"/>
  <c r="P1434" i="99"/>
  <c r="P1433" i="99"/>
  <c r="P1432" i="99"/>
  <c r="P1430" i="99"/>
  <c r="A1425" i="99"/>
  <c r="P1423" i="99"/>
  <c r="H1423" i="99"/>
  <c r="P1422" i="99"/>
  <c r="P1421" i="99"/>
  <c r="P1420" i="99"/>
  <c r="P1419" i="99"/>
  <c r="A1414" i="99"/>
  <c r="P1412" i="99"/>
  <c r="M1412" i="99"/>
  <c r="P1411" i="99"/>
  <c r="M1410" i="99"/>
  <c r="E1410" i="99"/>
  <c r="N1409" i="99"/>
  <c r="A1404" i="99"/>
  <c r="P1402" i="99"/>
  <c r="P1401" i="99"/>
  <c r="P1400" i="99"/>
  <c r="P1399" i="99"/>
  <c r="P1398" i="99"/>
  <c r="P1397" i="99"/>
  <c r="P1396" i="99"/>
  <c r="P1395" i="99"/>
  <c r="I1394" i="99"/>
  <c r="I1393" i="99"/>
  <c r="N1392" i="99"/>
  <c r="A1388" i="99"/>
  <c r="P1385" i="99"/>
  <c r="P1384" i="99"/>
  <c r="L1383" i="99"/>
  <c r="P1382" i="99"/>
  <c r="P1380" i="99"/>
  <c r="P1379" i="99"/>
  <c r="Q1377" i="99" s="1"/>
  <c r="P1378" i="99"/>
  <c r="A1372" i="99"/>
  <c r="O1369" i="99"/>
  <c r="P1368" i="99"/>
  <c r="N1367" i="99"/>
  <c r="P1366" i="99"/>
  <c r="P1365" i="99"/>
  <c r="A1361" i="99"/>
  <c r="P1358" i="99"/>
  <c r="P1357" i="99"/>
  <c r="C1357" i="99"/>
  <c r="P1356" i="99"/>
  <c r="C1356" i="99"/>
  <c r="P1353" i="99"/>
  <c r="G1353" i="99"/>
  <c r="P1352" i="99"/>
  <c r="G1352" i="99"/>
  <c r="P1350" i="99"/>
  <c r="K1348" i="99"/>
  <c r="P1347" i="99"/>
  <c r="P1346" i="99"/>
  <c r="A1342" i="99"/>
  <c r="P1340" i="99"/>
  <c r="P1339" i="99"/>
  <c r="P1338" i="99"/>
  <c r="P1337" i="99"/>
  <c r="L1336" i="99"/>
  <c r="P1335" i="99"/>
  <c r="AG1333" i="99"/>
  <c r="AF1333" i="99" s="1"/>
  <c r="AE1333" i="99" s="1"/>
  <c r="AD1333" i="99" s="1"/>
  <c r="AC1333" i="99" s="1"/>
  <c r="AB1333" i="99" s="1"/>
  <c r="AA1333" i="99" s="1"/>
  <c r="Z1333" i="99" s="1"/>
  <c r="P1331" i="99"/>
  <c r="N1331" i="99"/>
  <c r="K1331" i="99"/>
  <c r="I1449" i="99" s="1"/>
  <c r="AG1330" i="99"/>
  <c r="AF1330" i="99" s="1"/>
  <c r="AE1330" i="99" s="1"/>
  <c r="AD1330" i="99" s="1"/>
  <c r="AC1330" i="99" s="1"/>
  <c r="AB1330" i="99" s="1"/>
  <c r="AA1330" i="99" s="1"/>
  <c r="Z1330" i="99" s="1"/>
  <c r="P1330" i="99"/>
  <c r="P1329" i="99"/>
  <c r="N1329" i="99"/>
  <c r="K1329" i="99"/>
  <c r="I1446" i="99" s="1"/>
  <c r="AG1328" i="99"/>
  <c r="AF1328" i="99" s="1"/>
  <c r="AE1328" i="99"/>
  <c r="AD1328" i="99" s="1"/>
  <c r="AC1328" i="99" s="1"/>
  <c r="AB1328" i="99" s="1"/>
  <c r="AA1328" i="99" s="1"/>
  <c r="Z1328" i="99" s="1"/>
  <c r="P1328" i="99"/>
  <c r="N1328" i="99"/>
  <c r="K1328" i="99"/>
  <c r="I1443" i="99" s="1"/>
  <c r="P1324" i="99"/>
  <c r="P1323" i="99"/>
  <c r="P1322" i="99"/>
  <c r="P1320" i="99"/>
  <c r="A1315" i="99"/>
  <c r="P1313" i="99"/>
  <c r="L1311" i="99"/>
  <c r="P1310" i="99"/>
  <c r="P1309" i="99"/>
  <c r="P1307" i="99"/>
  <c r="A1302" i="99"/>
  <c r="P1300" i="99"/>
  <c r="P1299" i="99"/>
  <c r="P1298" i="99"/>
  <c r="P1297" i="99"/>
  <c r="P1296" i="99"/>
  <c r="P1295" i="99"/>
  <c r="A1290" i="99"/>
  <c r="P1288" i="99"/>
  <c r="P1287" i="99"/>
  <c r="P1286" i="99"/>
  <c r="P1285" i="99"/>
  <c r="P1284" i="99"/>
  <c r="P1283" i="99"/>
  <c r="P1282" i="99"/>
  <c r="P1281" i="99"/>
  <c r="P1280" i="99"/>
  <c r="K1279" i="99"/>
  <c r="K1278" i="99"/>
  <c r="P1277" i="99"/>
  <c r="K1276" i="99"/>
  <c r="A1270"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L1255" i="99"/>
  <c r="A1252" i="99"/>
  <c r="P1250" i="99"/>
  <c r="P1249" i="99"/>
  <c r="P1248" i="99"/>
  <c r="N1248" i="99"/>
  <c r="P1247" i="99"/>
  <c r="P1246" i="99"/>
  <c r="P1245" i="99"/>
  <c r="P1244" i="99"/>
  <c r="P1243" i="99"/>
  <c r="P1242" i="99"/>
  <c r="P1241" i="99"/>
  <c r="I1240" i="99"/>
  <c r="C1240" i="99"/>
  <c r="I1239" i="99"/>
  <c r="C1239" i="99"/>
  <c r="I1238" i="99"/>
  <c r="C1238" i="99"/>
  <c r="I1237" i="99"/>
  <c r="C1237" i="99"/>
  <c r="P1234" i="99"/>
  <c r="K1233" i="99"/>
  <c r="C1232" i="99"/>
  <c r="K1231" i="99"/>
  <c r="K1230" i="99"/>
  <c r="P1229" i="99"/>
  <c r="P1228" i="99"/>
  <c r="A1223" i="99"/>
  <c r="P1221" i="99"/>
  <c r="P1220" i="99"/>
  <c r="P1219" i="99"/>
  <c r="P1218" i="99"/>
  <c r="J1218" i="99"/>
  <c r="P1217" i="99"/>
  <c r="J1217" i="99"/>
  <c r="A1211" i="99"/>
  <c r="P1210" i="99"/>
  <c r="J1210" i="99"/>
  <c r="P1209" i="99"/>
  <c r="J1209" i="99"/>
  <c r="A1203" i="99"/>
  <c r="P1201" i="99"/>
  <c r="P1200" i="99"/>
  <c r="P1199" i="99"/>
  <c r="P1198" i="99"/>
  <c r="P1197" i="99"/>
  <c r="P1196" i="99"/>
  <c r="P1195" i="99"/>
  <c r="P1194" i="99"/>
  <c r="P1193" i="99"/>
  <c r="P1192" i="99"/>
  <c r="P1191" i="99"/>
  <c r="A1185" i="99"/>
  <c r="P1183" i="99"/>
  <c r="P1182" i="99"/>
  <c r="P1181" i="99"/>
  <c r="P1180" i="99"/>
  <c r="A1175" i="99"/>
  <c r="P1173" i="99"/>
  <c r="K1172" i="99"/>
  <c r="M1171" i="99"/>
  <c r="K1171" i="99" s="1"/>
  <c r="P1170" i="99"/>
  <c r="M1170" i="99"/>
  <c r="P1169" i="99"/>
  <c r="M1169" i="99"/>
  <c r="A1163" i="99"/>
  <c r="N1161" i="99"/>
  <c r="P1159" i="99"/>
  <c r="P1158" i="99"/>
  <c r="P1157" i="99"/>
  <c r="P1156" i="99"/>
  <c r="P1152" i="99"/>
  <c r="J1152" i="99"/>
  <c r="F1152" i="99"/>
  <c r="P1151" i="99"/>
  <c r="J1151" i="99"/>
  <c r="F1151" i="99"/>
  <c r="P1150" i="99"/>
  <c r="J1150" i="99"/>
  <c r="F1150" i="99"/>
  <c r="P1149" i="99"/>
  <c r="J1149" i="99"/>
  <c r="F1149" i="99"/>
  <c r="P1147" i="99"/>
  <c r="P1146" i="99"/>
  <c r="P1145" i="99"/>
  <c r="P1144" i="99"/>
  <c r="P1143" i="99"/>
  <c r="P1142" i="99"/>
  <c r="P1141" i="99"/>
  <c r="P1139" i="99"/>
  <c r="P1138" i="99"/>
  <c r="L1137" i="99"/>
  <c r="P1136" i="99"/>
  <c r="P1135" i="99"/>
  <c r="P1134" i="99"/>
  <c r="K1134" i="99"/>
  <c r="P1133" i="99"/>
  <c r="L1132" i="99"/>
  <c r="A1127" i="99"/>
  <c r="P1125" i="99"/>
  <c r="P1124" i="99"/>
  <c r="P1123" i="99"/>
  <c r="P1122" i="99"/>
  <c r="P1121" i="99"/>
  <c r="P1120" i="99"/>
  <c r="P1119" i="99"/>
  <c r="P1118" i="99"/>
  <c r="P1117" i="99"/>
  <c r="P1116" i="99"/>
  <c r="M1115" i="99"/>
  <c r="P1114" i="99"/>
  <c r="A1109" i="99"/>
  <c r="P1107" i="99"/>
  <c r="P1106" i="99"/>
  <c r="P1105" i="99"/>
  <c r="O1104" i="99"/>
  <c r="N1104" i="99"/>
  <c r="J1104" i="99"/>
  <c r="I1104" i="99"/>
  <c r="E1104" i="99"/>
  <c r="D1104" i="99"/>
  <c r="O1103" i="99"/>
  <c r="N1103" i="99"/>
  <c r="J1103" i="99"/>
  <c r="I1103" i="99"/>
  <c r="E1103" i="99"/>
  <c r="D1103" i="99"/>
  <c r="O1102" i="99"/>
  <c r="N1102" i="99"/>
  <c r="J1102" i="99"/>
  <c r="I1102" i="99"/>
  <c r="E1102" i="99"/>
  <c r="D1102" i="99"/>
  <c r="P1099" i="99"/>
  <c r="K1099" i="99"/>
  <c r="M1098" i="99"/>
  <c r="M1097" i="99"/>
  <c r="M1096" i="99"/>
  <c r="K1094" i="99"/>
  <c r="A1092" i="99"/>
  <c r="P1089" i="99"/>
  <c r="L1088" i="99"/>
  <c r="P1087" i="99"/>
  <c r="P1086" i="99"/>
  <c r="P1085" i="99"/>
  <c r="P1084" i="99"/>
  <c r="P1082" i="99"/>
  <c r="P1080" i="99"/>
  <c r="A1076" i="99"/>
  <c r="N1074" i="99"/>
  <c r="J1074" i="99"/>
  <c r="N1073" i="99"/>
  <c r="J1073" i="99"/>
  <c r="M1094" i="99" s="1"/>
  <c r="A1068" i="99"/>
  <c r="M1043" i="99"/>
  <c r="E1043" i="99"/>
  <c r="A1041" i="99"/>
  <c r="H1041" i="99" s="1"/>
  <c r="A1039" i="99"/>
  <c r="A1035" i="99"/>
  <c r="F1019" i="99"/>
  <c r="E1019" i="99"/>
  <c r="D1019" i="99"/>
  <c r="C1019" i="99"/>
  <c r="B1019" i="99"/>
  <c r="K989" i="99"/>
  <c r="J989" i="99"/>
  <c r="I989" i="99"/>
  <c r="H989" i="99"/>
  <c r="G989" i="99"/>
  <c r="F989" i="99"/>
  <c r="E989" i="99"/>
  <c r="D989" i="99"/>
  <c r="C989" i="99"/>
  <c r="B989" i="99"/>
  <c r="A987" i="99"/>
  <c r="A1017" i="99" s="1"/>
  <c r="A964" i="99"/>
  <c r="A995" i="99" s="1"/>
  <c r="A1025" i="99" s="1"/>
  <c r="K959" i="99"/>
  <c r="J959" i="99"/>
  <c r="I959" i="99"/>
  <c r="H959" i="99"/>
  <c r="G959" i="99"/>
  <c r="K957" i="99"/>
  <c r="J957" i="99"/>
  <c r="I957" i="99"/>
  <c r="H957" i="99"/>
  <c r="G957" i="99"/>
  <c r="F957" i="99"/>
  <c r="E957" i="99"/>
  <c r="D957" i="99"/>
  <c r="C957" i="99"/>
  <c r="B957" i="99"/>
  <c r="A956" i="99"/>
  <c r="A988" i="99" s="1"/>
  <c r="A1018" i="99" s="1"/>
  <c r="A955" i="99"/>
  <c r="A954" i="99"/>
  <c r="A986" i="99" s="1"/>
  <c r="A1016" i="99" s="1"/>
  <c r="A953" i="99"/>
  <c r="A985" i="99" s="1"/>
  <c r="A1015" i="99" s="1"/>
  <c r="A931" i="99"/>
  <c r="A963" i="99" s="1"/>
  <c r="A994" i="99" s="1"/>
  <c r="A1024" i="99" s="1"/>
  <c r="A930" i="99"/>
  <c r="A962" i="99" s="1"/>
  <c r="A993" i="99" s="1"/>
  <c r="A1023" i="99" s="1"/>
  <c r="A929" i="99"/>
  <c r="A961" i="99" s="1"/>
  <c r="A992" i="99" s="1"/>
  <c r="A1022" i="99" s="1"/>
  <c r="D927" i="99"/>
  <c r="C927" i="99"/>
  <c r="B927" i="99"/>
  <c r="R916" i="99" s="1"/>
  <c r="K925" i="99"/>
  <c r="J925" i="99"/>
  <c r="I925" i="99"/>
  <c r="H925" i="99"/>
  <c r="G925" i="99"/>
  <c r="F925" i="99"/>
  <c r="E925" i="99"/>
  <c r="D925" i="99"/>
  <c r="C925" i="99"/>
  <c r="B925" i="99"/>
  <c r="C909" i="99"/>
  <c r="D909" i="99" s="1"/>
  <c r="E909" i="99" s="1"/>
  <c r="F909" i="99" s="1"/>
  <c r="G909" i="99" s="1"/>
  <c r="H909" i="99" s="1"/>
  <c r="I909" i="99" s="1"/>
  <c r="J909" i="99" s="1"/>
  <c r="K909" i="99" s="1"/>
  <c r="B941" i="99" s="1"/>
  <c r="C941" i="99" s="1"/>
  <c r="D941" i="99" s="1"/>
  <c r="E941" i="99" s="1"/>
  <c r="F941" i="99" s="1"/>
  <c r="G941" i="99" s="1"/>
  <c r="H941" i="99" s="1"/>
  <c r="I941" i="99" s="1"/>
  <c r="J941" i="99" s="1"/>
  <c r="K941" i="99" s="1"/>
  <c r="B973" i="99" s="1"/>
  <c r="C973" i="99" s="1"/>
  <c r="D973" i="99" s="1"/>
  <c r="E973" i="99" s="1"/>
  <c r="F973" i="99" s="1"/>
  <c r="G973" i="99" s="1"/>
  <c r="H973" i="99" s="1"/>
  <c r="I973" i="99" s="1"/>
  <c r="J973" i="99" s="1"/>
  <c r="K973" i="99" s="1"/>
  <c r="B1003" i="99" s="1"/>
  <c r="C1003" i="99" s="1"/>
  <c r="D1003" i="99" s="1"/>
  <c r="E1003" i="99" s="1"/>
  <c r="F1003" i="99" s="1"/>
  <c r="N907" i="99"/>
  <c r="K905" i="99"/>
  <c r="G905" i="99"/>
  <c r="K904" i="99"/>
  <c r="G904" i="99"/>
  <c r="B904" i="99"/>
  <c r="C904" i="99" s="1"/>
  <c r="K903" i="99"/>
  <c r="G902" i="99"/>
  <c r="K901" i="99"/>
  <c r="G901" i="99"/>
  <c r="N899" i="99"/>
  <c r="C899" i="99"/>
  <c r="A897" i="99"/>
  <c r="N897" i="99" s="1"/>
  <c r="A894" i="99"/>
  <c r="Q891" i="99"/>
  <c r="N891" i="99"/>
  <c r="L891" i="99"/>
  <c r="J891" i="99"/>
  <c r="N889" i="99"/>
  <c r="K889" i="99"/>
  <c r="L884" i="99"/>
  <c r="I884" i="99"/>
  <c r="F884" i="99"/>
  <c r="B884" i="99"/>
  <c r="L883" i="99"/>
  <c r="F883" i="99"/>
  <c r="L882" i="99"/>
  <c r="F882" i="99"/>
  <c r="F881" i="99"/>
  <c r="F880" i="99"/>
  <c r="F879" i="99"/>
  <c r="L878" i="99"/>
  <c r="I878" i="99"/>
  <c r="F878" i="99"/>
  <c r="L877" i="99"/>
  <c r="F877" i="99"/>
  <c r="L876" i="99"/>
  <c r="L875" i="99"/>
  <c r="L874" i="99"/>
  <c r="L873" i="99"/>
  <c r="F873" i="99"/>
  <c r="B873" i="99"/>
  <c r="F872" i="99"/>
  <c r="F871" i="99"/>
  <c r="F870" i="99"/>
  <c r="F869" i="99"/>
  <c r="L868" i="99"/>
  <c r="I868" i="99"/>
  <c r="F868" i="99"/>
  <c r="L867" i="99"/>
  <c r="L866" i="99"/>
  <c r="L865" i="99"/>
  <c r="F864" i="99"/>
  <c r="B864" i="99"/>
  <c r="F863" i="99"/>
  <c r="F862" i="99"/>
  <c r="F861" i="99"/>
  <c r="L860" i="99"/>
  <c r="F860" i="99"/>
  <c r="L859" i="99"/>
  <c r="L861" i="99" s="1"/>
  <c r="F859" i="99"/>
  <c r="S856" i="99"/>
  <c r="L854" i="99"/>
  <c r="J854" i="99"/>
  <c r="L853" i="99"/>
  <c r="K853" i="99"/>
  <c r="J853" i="99"/>
  <c r="I853" i="99"/>
  <c r="H853" i="99"/>
  <c r="C853" i="99"/>
  <c r="L852" i="99"/>
  <c r="K852" i="99"/>
  <c r="K854" i="99" s="1"/>
  <c r="J852" i="99"/>
  <c r="I852" i="99"/>
  <c r="H852" i="99"/>
  <c r="S851" i="99"/>
  <c r="L849" i="99"/>
  <c r="K849" i="99"/>
  <c r="J849" i="99"/>
  <c r="I849" i="99"/>
  <c r="H849" i="99"/>
  <c r="C849" i="99"/>
  <c r="L848" i="99"/>
  <c r="L850" i="99" s="1"/>
  <c r="K848" i="99"/>
  <c r="K850" i="99" s="1"/>
  <c r="J848" i="99"/>
  <c r="J850" i="99" s="1"/>
  <c r="I848" i="99"/>
  <c r="H848" i="99"/>
  <c r="T847" i="99"/>
  <c r="Q844" i="99"/>
  <c r="P844" i="99"/>
  <c r="O844" i="99"/>
  <c r="N844" i="99"/>
  <c r="M844" i="99"/>
  <c r="L844" i="99"/>
  <c r="K844" i="99"/>
  <c r="J844" i="99"/>
  <c r="J845" i="99" s="1"/>
  <c r="I844" i="99"/>
  <c r="I845" i="99" s="1"/>
  <c r="H844" i="99"/>
  <c r="C844" i="99"/>
  <c r="Q843" i="99"/>
  <c r="P843" i="99"/>
  <c r="O843" i="99"/>
  <c r="O845" i="99" s="1"/>
  <c r="N843" i="99"/>
  <c r="N845" i="99" s="1"/>
  <c r="M843" i="99"/>
  <c r="M845" i="99" s="1"/>
  <c r="L843" i="99"/>
  <c r="K843" i="99"/>
  <c r="J843" i="99"/>
  <c r="I843" i="99"/>
  <c r="H843" i="99"/>
  <c r="S842" i="99"/>
  <c r="Q840" i="99"/>
  <c r="Q841" i="99" s="1"/>
  <c r="P840" i="99"/>
  <c r="O840" i="99"/>
  <c r="N840" i="99"/>
  <c r="M840" i="99"/>
  <c r="L840" i="99"/>
  <c r="K840" i="99"/>
  <c r="K841" i="99" s="1"/>
  <c r="J840" i="99"/>
  <c r="J841" i="99" s="1"/>
  <c r="I840" i="99"/>
  <c r="I841" i="99" s="1"/>
  <c r="H840" i="99"/>
  <c r="C840" i="99"/>
  <c r="Q839" i="99"/>
  <c r="P839" i="99"/>
  <c r="P841" i="99" s="1"/>
  <c r="O839" i="99"/>
  <c r="O841" i="99" s="1"/>
  <c r="N839" i="99"/>
  <c r="N841" i="99" s="1"/>
  <c r="M839" i="99"/>
  <c r="L839" i="99"/>
  <c r="L841" i="99" s="1"/>
  <c r="K839" i="99"/>
  <c r="J839" i="99"/>
  <c r="I839" i="99"/>
  <c r="H839" i="99"/>
  <c r="H841" i="99" s="1"/>
  <c r="T838" i="99"/>
  <c r="Q836" i="99"/>
  <c r="I836" i="99"/>
  <c r="Q835" i="99"/>
  <c r="P835" i="99"/>
  <c r="O835" i="99"/>
  <c r="N835" i="99"/>
  <c r="M835" i="99"/>
  <c r="L835" i="99"/>
  <c r="K835" i="99"/>
  <c r="J835" i="99"/>
  <c r="J836" i="99" s="1"/>
  <c r="I835" i="99"/>
  <c r="H835" i="99"/>
  <c r="C835" i="99"/>
  <c r="Q834" i="99"/>
  <c r="P834" i="99"/>
  <c r="P836" i="99" s="1"/>
  <c r="O834" i="99"/>
  <c r="O836" i="99" s="1"/>
  <c r="N834" i="99"/>
  <c r="N836" i="99" s="1"/>
  <c r="M834" i="99"/>
  <c r="M836" i="99" s="1"/>
  <c r="L834" i="99"/>
  <c r="K834" i="99"/>
  <c r="J834" i="99"/>
  <c r="I834" i="99"/>
  <c r="H834" i="99"/>
  <c r="H836" i="99" s="1"/>
  <c r="S833" i="99"/>
  <c r="Q832" i="99"/>
  <c r="J832" i="99"/>
  <c r="Q831" i="99"/>
  <c r="P831" i="99"/>
  <c r="O831" i="99"/>
  <c r="N831" i="99"/>
  <c r="M831" i="99"/>
  <c r="L831" i="99"/>
  <c r="K831" i="99"/>
  <c r="J831" i="99"/>
  <c r="I831" i="99"/>
  <c r="H831" i="99"/>
  <c r="C831" i="99"/>
  <c r="Q830" i="99"/>
  <c r="P830" i="99"/>
  <c r="P832" i="99" s="1"/>
  <c r="O830" i="99"/>
  <c r="O832" i="99" s="1"/>
  <c r="N830" i="99"/>
  <c r="N832" i="99" s="1"/>
  <c r="M830" i="99"/>
  <c r="L830" i="99"/>
  <c r="K830" i="99"/>
  <c r="J830" i="99"/>
  <c r="I830" i="99"/>
  <c r="I832" i="99" s="1"/>
  <c r="H830" i="99"/>
  <c r="H832" i="99" s="1"/>
  <c r="T829" i="99"/>
  <c r="Q826" i="99"/>
  <c r="P826" i="99"/>
  <c r="O826" i="99"/>
  <c r="N826" i="99"/>
  <c r="M826" i="99"/>
  <c r="L826" i="99"/>
  <c r="K826" i="99"/>
  <c r="J826" i="99"/>
  <c r="I826" i="99"/>
  <c r="H826" i="99"/>
  <c r="C826" i="99"/>
  <c r="Q825" i="99"/>
  <c r="Q827" i="99" s="1"/>
  <c r="P825" i="99"/>
  <c r="P827" i="99" s="1"/>
  <c r="O825" i="99"/>
  <c r="O827" i="99" s="1"/>
  <c r="N825" i="99"/>
  <c r="M825" i="99"/>
  <c r="L825" i="99"/>
  <c r="K825" i="99"/>
  <c r="K827" i="99" s="1"/>
  <c r="J825" i="99"/>
  <c r="J827" i="99" s="1"/>
  <c r="I825" i="99"/>
  <c r="I827" i="99" s="1"/>
  <c r="H825" i="99"/>
  <c r="H827" i="99" s="1"/>
  <c r="S824" i="99"/>
  <c r="Q822" i="99"/>
  <c r="P822" i="99"/>
  <c r="O822" i="99"/>
  <c r="N822" i="99"/>
  <c r="M822" i="99"/>
  <c r="L822" i="99"/>
  <c r="K822" i="99"/>
  <c r="J822" i="99"/>
  <c r="I822" i="99"/>
  <c r="H822" i="99"/>
  <c r="C822" i="99"/>
  <c r="Q821" i="99"/>
  <c r="Q823" i="99" s="1"/>
  <c r="P821" i="99"/>
  <c r="P823" i="99" s="1"/>
  <c r="O821" i="99"/>
  <c r="N821" i="99"/>
  <c r="M821" i="99"/>
  <c r="L821" i="99"/>
  <c r="L823" i="99" s="1"/>
  <c r="K821" i="99"/>
  <c r="J821" i="99"/>
  <c r="J823" i="99" s="1"/>
  <c r="I821" i="99"/>
  <c r="I823" i="99" s="1"/>
  <c r="H821" i="99"/>
  <c r="H823" i="99" s="1"/>
  <c r="S820" i="99"/>
  <c r="S819" i="99"/>
  <c r="S817" i="99"/>
  <c r="K812" i="99"/>
  <c r="S794" i="99"/>
  <c r="S784" i="99"/>
  <c r="S783" i="99"/>
  <c r="L783" i="99"/>
  <c r="S764" i="99"/>
  <c r="O761" i="99"/>
  <c r="N761" i="99"/>
  <c r="M761" i="99"/>
  <c r="L761" i="99"/>
  <c r="K761" i="99"/>
  <c r="P761" i="99" s="1"/>
  <c r="O760" i="99"/>
  <c r="N760" i="99"/>
  <c r="M760" i="99"/>
  <c r="L760" i="99"/>
  <c r="K760" i="99"/>
  <c r="S750" i="99"/>
  <c r="S741" i="99"/>
  <c r="S740" i="99"/>
  <c r="L740" i="99"/>
  <c r="S730" i="99"/>
  <c r="S707" i="99"/>
  <c r="O692" i="99"/>
  <c r="S691" i="99"/>
  <c r="O691" i="99"/>
  <c r="MU687" i="99"/>
  <c r="CP686" i="99"/>
  <c r="Q686" i="99"/>
  <c r="P686" i="99"/>
  <c r="O686" i="99"/>
  <c r="KO686" i="99" s="1"/>
  <c r="N686" i="99"/>
  <c r="K686" i="99"/>
  <c r="I686" i="99"/>
  <c r="H686" i="99"/>
  <c r="G686" i="99"/>
  <c r="F686" i="99"/>
  <c r="E686" i="99"/>
  <c r="D686" i="99"/>
  <c r="C686" i="99"/>
  <c r="B686" i="99"/>
  <c r="LH685" i="99"/>
  <c r="HP685" i="99"/>
  <c r="FT685" i="99"/>
  <c r="FD685" i="99"/>
  <c r="EV685" i="99"/>
  <c r="EN685" i="99"/>
  <c r="CR685" i="99"/>
  <c r="CJ685" i="99"/>
  <c r="CB685" i="99"/>
  <c r="BT685" i="99"/>
  <c r="X685" i="99"/>
  <c r="Q685" i="99"/>
  <c r="IF685" i="99" s="1"/>
  <c r="P685" i="99"/>
  <c r="O685" i="99"/>
  <c r="N685" i="99"/>
  <c r="K685" i="99"/>
  <c r="I685" i="99"/>
  <c r="H685" i="99"/>
  <c r="G685" i="99"/>
  <c r="F685" i="99"/>
  <c r="E685" i="99"/>
  <c r="D685" i="99"/>
  <c r="C685" i="99"/>
  <c r="B685" i="99"/>
  <c r="LP685" i="99" s="1"/>
  <c r="GR684" i="99"/>
  <c r="FT684" i="99"/>
  <c r="EW684" i="99"/>
  <c r="AV684" i="99"/>
  <c r="Y684" i="99"/>
  <c r="Q684" i="99"/>
  <c r="P684" i="99"/>
  <c r="HX684" i="99" s="1"/>
  <c r="O684" i="99"/>
  <c r="N684" i="99"/>
  <c r="K684" i="99"/>
  <c r="I684" i="99"/>
  <c r="H684" i="99"/>
  <c r="G684" i="99"/>
  <c r="F684" i="99"/>
  <c r="E684" i="99"/>
  <c r="D684" i="99"/>
  <c r="C684" i="99"/>
  <c r="KR684" i="99" s="1"/>
  <c r="B684" i="99"/>
  <c r="KS683" i="99"/>
  <c r="KK683" i="99"/>
  <c r="DV683" i="99"/>
  <c r="DK683" i="99"/>
  <c r="CZ683" i="99"/>
  <c r="CX683" i="99"/>
  <c r="BZ683" i="99"/>
  <c r="BR683" i="99"/>
  <c r="BJ683" i="99"/>
  <c r="BG683" i="99"/>
  <c r="AI683" i="99"/>
  <c r="AB683" i="99"/>
  <c r="Q683" i="99"/>
  <c r="P683" i="99"/>
  <c r="LX683" i="99" s="1"/>
  <c r="O683" i="99"/>
  <c r="N683" i="99"/>
  <c r="K683" i="99"/>
  <c r="I683" i="99"/>
  <c r="H683" i="99"/>
  <c r="G683" i="99"/>
  <c r="F683" i="99"/>
  <c r="E683" i="99"/>
  <c r="D683" i="99"/>
  <c r="C683" i="99"/>
  <c r="B683" i="99"/>
  <c r="LF682" i="99"/>
  <c r="LD682" i="99"/>
  <c r="KP682" i="99"/>
  <c r="JH682" i="99"/>
  <c r="IV682" i="99"/>
  <c r="IB682" i="99"/>
  <c r="EH682" i="99"/>
  <c r="Q682" i="99"/>
  <c r="JL682" i="99" s="1"/>
  <c r="P682" i="99"/>
  <c r="O682" i="99"/>
  <c r="N682" i="99"/>
  <c r="K682" i="99"/>
  <c r="I682" i="99"/>
  <c r="H682" i="99"/>
  <c r="G682" i="99"/>
  <c r="F682" i="99"/>
  <c r="E682" i="99"/>
  <c r="D682" i="99"/>
  <c r="C682" i="99"/>
  <c r="B682" i="99"/>
  <c r="IB681" i="99"/>
  <c r="IA681" i="99"/>
  <c r="HZ681" i="99"/>
  <c r="FP681" i="99"/>
  <c r="FO681" i="99"/>
  <c r="FK681" i="99"/>
  <c r="FF681" i="99"/>
  <c r="EP681" i="99"/>
  <c r="EJ681" i="99"/>
  <c r="EI681" i="99"/>
  <c r="EE681" i="99"/>
  <c r="DN681" i="99"/>
  <c r="DJ681" i="99"/>
  <c r="DD681" i="99"/>
  <c r="DC681" i="99"/>
  <c r="CI681" i="99"/>
  <c r="CH681" i="99"/>
  <c r="CD681" i="99"/>
  <c r="BX681" i="99"/>
  <c r="BH681" i="99"/>
  <c r="BC681" i="99"/>
  <c r="BB681" i="99"/>
  <c r="AX681" i="99"/>
  <c r="AF681" i="99"/>
  <c r="AB681" i="99"/>
  <c r="Q681" i="99"/>
  <c r="P681" i="99"/>
  <c r="HR681" i="99" s="1"/>
  <c r="O681" i="99"/>
  <c r="N681" i="99"/>
  <c r="K681" i="99"/>
  <c r="I681" i="99"/>
  <c r="H681" i="99"/>
  <c r="G681" i="99"/>
  <c r="F681" i="99"/>
  <c r="E681" i="99"/>
  <c r="D681" i="99"/>
  <c r="C681" i="99"/>
  <c r="GF681" i="99" s="1"/>
  <c r="B681" i="99"/>
  <c r="LI681" i="99" s="1"/>
  <c r="JX680" i="99"/>
  <c r="HI680" i="99"/>
  <c r="HC680" i="99"/>
  <c r="GQ680" i="99"/>
  <c r="Q680" i="99"/>
  <c r="P680" i="99"/>
  <c r="O680" i="99"/>
  <c r="N680" i="99"/>
  <c r="K680" i="99"/>
  <c r="I680" i="99"/>
  <c r="H680" i="99"/>
  <c r="G680" i="99"/>
  <c r="F680" i="99"/>
  <c r="E680" i="99"/>
  <c r="D680" i="99"/>
  <c r="C680" i="99"/>
  <c r="B680" i="99"/>
  <c r="LO679" i="99"/>
  <c r="LB679" i="99"/>
  <c r="JK679" i="99"/>
  <c r="IL679" i="99"/>
  <c r="II679" i="99"/>
  <c r="ID679" i="99"/>
  <c r="GB679" i="99"/>
  <c r="FW679" i="99"/>
  <c r="FV679" i="99"/>
  <c r="FM679" i="99"/>
  <c r="DP679" i="99"/>
  <c r="DJ679" i="99"/>
  <c r="CP679" i="99"/>
  <c r="CE679" i="99"/>
  <c r="AH679" i="99"/>
  <c r="AD679" i="99"/>
  <c r="Q679" i="99"/>
  <c r="JO679" i="99" s="1"/>
  <c r="P679" i="99"/>
  <c r="O679" i="99"/>
  <c r="N679" i="99"/>
  <c r="K679" i="99"/>
  <c r="I679" i="99"/>
  <c r="H679" i="99"/>
  <c r="G679" i="99"/>
  <c r="F679" i="99"/>
  <c r="E679" i="99"/>
  <c r="D679" i="99"/>
  <c r="C679" i="99"/>
  <c r="MI679" i="99" s="1"/>
  <c r="B679" i="99"/>
  <c r="KT678" i="99"/>
  <c r="KP678" i="99"/>
  <c r="JZ678" i="99"/>
  <c r="JT678" i="99"/>
  <c r="ID678" i="99"/>
  <c r="FR678" i="99"/>
  <c r="DF678" i="99"/>
  <c r="BI678" i="99"/>
  <c r="Q678" i="99"/>
  <c r="P678" i="99"/>
  <c r="O678" i="99"/>
  <c r="LA678" i="99" s="1"/>
  <c r="N678" i="99"/>
  <c r="K678" i="99"/>
  <c r="I678" i="99"/>
  <c r="H678" i="99"/>
  <c r="G678" i="99"/>
  <c r="F678" i="99"/>
  <c r="E678" i="99"/>
  <c r="D678" i="99"/>
  <c r="C678" i="99"/>
  <c r="JD678" i="99" s="1"/>
  <c r="B678" i="99"/>
  <c r="MA677" i="99"/>
  <c r="KP677" i="99"/>
  <c r="HY677" i="99"/>
  <c r="Q677" i="99"/>
  <c r="P677" i="99"/>
  <c r="O677" i="99"/>
  <c r="N677" i="99"/>
  <c r="K677" i="99"/>
  <c r="I677" i="99"/>
  <c r="H677" i="99"/>
  <c r="G677" i="99"/>
  <c r="F677" i="99"/>
  <c r="E677" i="99"/>
  <c r="D677" i="99"/>
  <c r="C677" i="99"/>
  <c r="B677" i="99"/>
  <c r="LO676" i="99"/>
  <c r="LI676" i="99"/>
  <c r="HY676" i="99"/>
  <c r="HW676" i="99"/>
  <c r="GC676" i="99"/>
  <c r="FS676" i="99"/>
  <c r="FO676" i="99"/>
  <c r="FM676" i="99"/>
  <c r="EU676" i="99"/>
  <c r="EQ676" i="99"/>
  <c r="EO676" i="99"/>
  <c r="EM676" i="99"/>
  <c r="CY676" i="99"/>
  <c r="CI676" i="99"/>
  <c r="CE676" i="99"/>
  <c r="CC676" i="99"/>
  <c r="BE676" i="99"/>
  <c r="AY676" i="99"/>
  <c r="AU676" i="99"/>
  <c r="AQ676" i="99"/>
  <c r="Y676" i="99"/>
  <c r="Q676" i="99"/>
  <c r="P676" i="99"/>
  <c r="O676" i="99"/>
  <c r="N676" i="99"/>
  <c r="K676" i="99"/>
  <c r="I676" i="99"/>
  <c r="H676" i="99"/>
  <c r="G676" i="99"/>
  <c r="F676" i="99"/>
  <c r="E676" i="99"/>
  <c r="D676" i="99"/>
  <c r="C676" i="99"/>
  <c r="B676" i="99"/>
  <c r="LJ676" i="99" s="1"/>
  <c r="GS675" i="99"/>
  <c r="GQ675" i="99"/>
  <c r="GC675" i="99"/>
  <c r="BO675" i="99"/>
  <c r="Q675" i="99"/>
  <c r="P675" i="99"/>
  <c r="O675" i="99"/>
  <c r="N675" i="99"/>
  <c r="K675" i="99"/>
  <c r="I675" i="99"/>
  <c r="H675" i="99"/>
  <c r="G675" i="99"/>
  <c r="F675" i="99"/>
  <c r="E675" i="99"/>
  <c r="D675" i="99"/>
  <c r="C675" i="99"/>
  <c r="CU675" i="99" s="1"/>
  <c r="B675" i="99"/>
  <c r="HH674" i="99"/>
  <c r="HC674" i="99"/>
  <c r="GR674" i="99"/>
  <c r="GL674" i="99"/>
  <c r="FG674" i="99"/>
  <c r="FF674" i="99"/>
  <c r="FE674" i="99"/>
  <c r="EQ674" i="99"/>
  <c r="DW674" i="99"/>
  <c r="DJ674" i="99"/>
  <c r="DI674" i="99"/>
  <c r="DH674" i="99"/>
  <c r="CG674" i="99"/>
  <c r="CE674" i="99"/>
  <c r="CD674" i="99"/>
  <c r="BU674" i="99"/>
  <c r="BF674" i="99"/>
  <c r="BC674" i="99"/>
  <c r="BA674" i="99"/>
  <c r="AQ674" i="99"/>
  <c r="AC674" i="99"/>
  <c r="AA674" i="99"/>
  <c r="Z674" i="99"/>
  <c r="Q674" i="99"/>
  <c r="P674" i="99"/>
  <c r="O674" i="99"/>
  <c r="JB674" i="99" s="1"/>
  <c r="N674" i="99"/>
  <c r="K674" i="99"/>
  <c r="I674" i="99"/>
  <c r="H674" i="99"/>
  <c r="G674" i="99"/>
  <c r="F674" i="99"/>
  <c r="E674" i="99"/>
  <c r="D674" i="99"/>
  <c r="C674" i="99"/>
  <c r="B674" i="99"/>
  <c r="HR673" i="99"/>
  <c r="HK673" i="99"/>
  <c r="GU673" i="99"/>
  <c r="EX673" i="99"/>
  <c r="BE673" i="99"/>
  <c r="BD673" i="99"/>
  <c r="AQ673" i="99"/>
  <c r="Q673" i="99"/>
  <c r="P673" i="99"/>
  <c r="O673" i="99"/>
  <c r="N673" i="99"/>
  <c r="K673" i="99"/>
  <c r="I673" i="99"/>
  <c r="H673" i="99"/>
  <c r="G673" i="99"/>
  <c r="F673" i="99"/>
  <c r="E673" i="99"/>
  <c r="D673" i="99"/>
  <c r="C673" i="99"/>
  <c r="LX673" i="99" s="1"/>
  <c r="B673" i="99"/>
  <c r="MM672" i="99"/>
  <c r="LR672" i="99"/>
  <c r="LP672" i="99"/>
  <c r="LG672" i="99"/>
  <c r="IA672" i="99"/>
  <c r="HZ672" i="99"/>
  <c r="HP672" i="99"/>
  <c r="HO672" i="99"/>
  <c r="HM672" i="99"/>
  <c r="GA672" i="99"/>
  <c r="FY672" i="99"/>
  <c r="FW672" i="99"/>
  <c r="FV672" i="99"/>
  <c r="FM672" i="99"/>
  <c r="FL672" i="99"/>
  <c r="FK672" i="99"/>
  <c r="FI672" i="99"/>
  <c r="EY672" i="99"/>
  <c r="EX672" i="99"/>
  <c r="EU672" i="99"/>
  <c r="ES672" i="99"/>
  <c r="EI672" i="99"/>
  <c r="EH672" i="99"/>
  <c r="EG672" i="99"/>
  <c r="EF672" i="99"/>
  <c r="DW672" i="99"/>
  <c r="DU672" i="99"/>
  <c r="DS672" i="99"/>
  <c r="DR672" i="99"/>
  <c r="DI672" i="99"/>
  <c r="DH672" i="99"/>
  <c r="DC672" i="99"/>
  <c r="DB672" i="99"/>
  <c r="CS672" i="99"/>
  <c r="CR672" i="99"/>
  <c r="CQ672" i="99"/>
  <c r="CO672" i="99"/>
  <c r="CE672" i="99"/>
  <c r="CD672" i="99"/>
  <c r="CC672" i="99"/>
  <c r="CB672" i="99"/>
  <c r="BS672" i="99"/>
  <c r="BQ672" i="99"/>
  <c r="BM672" i="99"/>
  <c r="BL672" i="99"/>
  <c r="BC672" i="99"/>
  <c r="BA672" i="99"/>
  <c r="AY672" i="99"/>
  <c r="AX672" i="99"/>
  <c r="AO672" i="99"/>
  <c r="AN672" i="99"/>
  <c r="AM672" i="99"/>
  <c r="AK672" i="99"/>
  <c r="AA672" i="99"/>
  <c r="Z672" i="99"/>
  <c r="Q672" i="99"/>
  <c r="KL672" i="99" s="1"/>
  <c r="P672" i="99"/>
  <c r="O672" i="99"/>
  <c r="N672" i="99"/>
  <c r="K672" i="99"/>
  <c r="I672" i="99"/>
  <c r="H672" i="99"/>
  <c r="G672" i="99"/>
  <c r="F672" i="99"/>
  <c r="E672" i="99"/>
  <c r="MK672" i="99" s="1"/>
  <c r="D672" i="99"/>
  <c r="C672" i="99"/>
  <c r="B672" i="99"/>
  <c r="LK672" i="99" s="1"/>
  <c r="LH671" i="99"/>
  <c r="IE671" i="99"/>
  <c r="GB671" i="99"/>
  <c r="GA671" i="99"/>
  <c r="FZ671" i="99"/>
  <c r="FY671" i="99"/>
  <c r="ET671" i="99"/>
  <c r="EJ671" i="99"/>
  <c r="EF671" i="99"/>
  <c r="DV671" i="99"/>
  <c r="CP671" i="99"/>
  <c r="CF671" i="99"/>
  <c r="BZ671" i="99"/>
  <c r="BP671" i="99"/>
  <c r="AJ671" i="99"/>
  <c r="X671" i="99"/>
  <c r="Q671" i="99"/>
  <c r="P671" i="99"/>
  <c r="LW671" i="99" s="1"/>
  <c r="O671" i="99"/>
  <c r="N671" i="99"/>
  <c r="K671" i="99"/>
  <c r="I671" i="99"/>
  <c r="H671" i="99"/>
  <c r="G671" i="99"/>
  <c r="F671" i="99"/>
  <c r="E671" i="99"/>
  <c r="MI671" i="99" s="1"/>
  <c r="D671" i="99"/>
  <c r="C671" i="99"/>
  <c r="KN671" i="99" s="1"/>
  <c r="B671" i="99"/>
  <c r="LM671" i="99" s="1"/>
  <c r="KR670" i="99"/>
  <c r="JB670" i="99"/>
  <c r="AL670" i="99"/>
  <c r="AJ670" i="99"/>
  <c r="Q670" i="99"/>
  <c r="P670" i="99"/>
  <c r="O670" i="99"/>
  <c r="N670" i="99"/>
  <c r="K670" i="99"/>
  <c r="I670" i="99"/>
  <c r="H670" i="99"/>
  <c r="G670" i="99"/>
  <c r="F670" i="99"/>
  <c r="E670" i="99"/>
  <c r="D670" i="99"/>
  <c r="C670" i="99"/>
  <c r="B670" i="99"/>
  <c r="LG670" i="99" s="1"/>
  <c r="LY669" i="99"/>
  <c r="KU669" i="99"/>
  <c r="DA669" i="99"/>
  <c r="CE669" i="99"/>
  <c r="CC669" i="99"/>
  <c r="BW669" i="99"/>
  <c r="Q669" i="99"/>
  <c r="IK669" i="99" s="1"/>
  <c r="P669" i="99"/>
  <c r="HK669" i="99" s="1"/>
  <c r="O669" i="99"/>
  <c r="N669" i="99"/>
  <c r="K669" i="99"/>
  <c r="I669" i="99"/>
  <c r="H669" i="99"/>
  <c r="G669" i="99"/>
  <c r="F669" i="99"/>
  <c r="E669" i="99"/>
  <c r="D669" i="99"/>
  <c r="C669" i="99"/>
  <c r="B669" i="99"/>
  <c r="LJ668" i="99"/>
  <c r="KE668" i="99"/>
  <c r="BV668" i="99"/>
  <c r="Q668" i="99"/>
  <c r="P668" i="99"/>
  <c r="HF668" i="99" s="1"/>
  <c r="O668" i="99"/>
  <c r="N668" i="99"/>
  <c r="K668" i="99"/>
  <c r="I668" i="99"/>
  <c r="H668" i="99"/>
  <c r="G668" i="99"/>
  <c r="F668" i="99"/>
  <c r="E668" i="99"/>
  <c r="D668" i="99"/>
  <c r="C668" i="99"/>
  <c r="B668" i="99"/>
  <c r="IH667" i="99"/>
  <c r="FN667" i="99"/>
  <c r="Q667" i="99"/>
  <c r="P667" i="99"/>
  <c r="O667" i="99"/>
  <c r="N667" i="99"/>
  <c r="K667" i="99"/>
  <c r="I667" i="99"/>
  <c r="H667" i="99"/>
  <c r="G667" i="99"/>
  <c r="F667" i="99"/>
  <c r="E667" i="99"/>
  <c r="D667" i="99"/>
  <c r="C667" i="99"/>
  <c r="IF667" i="99" s="1"/>
  <c r="B667" i="99"/>
  <c r="MB667" i="99" s="1"/>
  <c r="MH666" i="99"/>
  <c r="FY666" i="99"/>
  <c r="FP666" i="99"/>
  <c r="FG666" i="99"/>
  <c r="EX666" i="99"/>
  <c r="DD666" i="99"/>
  <c r="CU666" i="99"/>
  <c r="CL666" i="99"/>
  <c r="CC666" i="99"/>
  <c r="AI666" i="99"/>
  <c r="Z666" i="99"/>
  <c r="Q666" i="99"/>
  <c r="P666" i="99"/>
  <c r="HT666" i="99" s="1"/>
  <c r="O666" i="99"/>
  <c r="N666" i="99"/>
  <c r="K666" i="99"/>
  <c r="I666" i="99"/>
  <c r="H666" i="99"/>
  <c r="G666" i="99"/>
  <c r="F666" i="99"/>
  <c r="E666" i="99"/>
  <c r="D666" i="99"/>
  <c r="C666" i="99"/>
  <c r="B666" i="99"/>
  <c r="LL665" i="99"/>
  <c r="IR665" i="99"/>
  <c r="IA665" i="99"/>
  <c r="HZ665" i="99"/>
  <c r="FZ665" i="99"/>
  <c r="FX665" i="99"/>
  <c r="FW665" i="99"/>
  <c r="FV665" i="99"/>
  <c r="EV665" i="99"/>
  <c r="ET665" i="99"/>
  <c r="EM665" i="99"/>
  <c r="EL665" i="99"/>
  <c r="DW665" i="99"/>
  <c r="DV665" i="99"/>
  <c r="DO665" i="99"/>
  <c r="DN665" i="99"/>
  <c r="CQ665" i="99"/>
  <c r="CP665" i="99"/>
  <c r="CI665" i="99"/>
  <c r="CH665" i="99"/>
  <c r="BK665" i="99"/>
  <c r="BJ665" i="99"/>
  <c r="BC665" i="99"/>
  <c r="BB665" i="99"/>
  <c r="AE665" i="99"/>
  <c r="AD665" i="99"/>
  <c r="Q665" i="99"/>
  <c r="JA665" i="99" s="1"/>
  <c r="P665" i="99"/>
  <c r="O665" i="99"/>
  <c r="N665" i="99"/>
  <c r="K665" i="99"/>
  <c r="I665" i="99"/>
  <c r="H665" i="99"/>
  <c r="G665" i="99"/>
  <c r="F665" i="99"/>
  <c r="E665" i="99"/>
  <c r="D665" i="99"/>
  <c r="C665" i="99"/>
  <c r="GF665" i="99" s="1"/>
  <c r="B665" i="99"/>
  <c r="JR664" i="99"/>
  <c r="IL664" i="99"/>
  <c r="GD664" i="99"/>
  <c r="GB664" i="99"/>
  <c r="ED664" i="99"/>
  <c r="DN664" i="99"/>
  <c r="Q664" i="99"/>
  <c r="P664" i="99"/>
  <c r="O664" i="99"/>
  <c r="N664" i="99"/>
  <c r="K664" i="99"/>
  <c r="I664" i="99"/>
  <c r="H664" i="99"/>
  <c r="G664" i="99"/>
  <c r="F664" i="99"/>
  <c r="E664" i="99"/>
  <c r="D664" i="99"/>
  <c r="C664" i="99"/>
  <c r="MD664" i="99" s="1"/>
  <c r="B664" i="99"/>
  <c r="LP663" i="99"/>
  <c r="JR663" i="99"/>
  <c r="JB663" i="99"/>
  <c r="IX663" i="99"/>
  <c r="IT663" i="99"/>
  <c r="HV663" i="99"/>
  <c r="GD663" i="99"/>
  <c r="GB663" i="99"/>
  <c r="GA663" i="99"/>
  <c r="FK663" i="99"/>
  <c r="EY663" i="99"/>
  <c r="EX663" i="99"/>
  <c r="ET663" i="99"/>
  <c r="EH663" i="99"/>
  <c r="EF663" i="99"/>
  <c r="EE663" i="99"/>
  <c r="ED663" i="99"/>
  <c r="DR663" i="99"/>
  <c r="DP663" i="99"/>
  <c r="DO663" i="99"/>
  <c r="CT663" i="99"/>
  <c r="CL663" i="99"/>
  <c r="CH663" i="99"/>
  <c r="CE663" i="99"/>
  <c r="BN663" i="99"/>
  <c r="BC663" i="99"/>
  <c r="BB663" i="99"/>
  <c r="AY663" i="99"/>
  <c r="AE663" i="99"/>
  <c r="Q663" i="99"/>
  <c r="P663" i="99"/>
  <c r="O663" i="99"/>
  <c r="KR663" i="99" s="1"/>
  <c r="N663" i="99"/>
  <c r="K663" i="99"/>
  <c r="DB663" i="99" s="1"/>
  <c r="I663" i="99"/>
  <c r="H663" i="99"/>
  <c r="G663" i="99"/>
  <c r="F663" i="99"/>
  <c r="E663" i="99"/>
  <c r="D663" i="99"/>
  <c r="C663" i="99"/>
  <c r="B663" i="99"/>
  <c r="FN663" i="99" s="1"/>
  <c r="GI662" i="99"/>
  <c r="BG662" i="99"/>
  <c r="Q662" i="99"/>
  <c r="P662" i="99"/>
  <c r="O662" i="99"/>
  <c r="N662" i="99"/>
  <c r="K662" i="99"/>
  <c r="CM662" i="99" s="1"/>
  <c r="I662" i="99"/>
  <c r="H662" i="99"/>
  <c r="G662" i="99"/>
  <c r="F662" i="99"/>
  <c r="E662" i="99"/>
  <c r="D662" i="99"/>
  <c r="C662" i="99"/>
  <c r="HK662" i="99" s="1"/>
  <c r="B662" i="99"/>
  <c r="LH661" i="99"/>
  <c r="LG661" i="99"/>
  <c r="GB661" i="99"/>
  <c r="GA661" i="99"/>
  <c r="FZ661" i="99"/>
  <c r="FY661" i="99"/>
  <c r="FO661" i="99"/>
  <c r="FN661" i="99"/>
  <c r="FL661" i="99"/>
  <c r="FK661" i="99"/>
  <c r="FB661" i="99"/>
  <c r="FA661" i="99"/>
  <c r="EY661" i="99"/>
  <c r="EX661" i="99"/>
  <c r="EM661" i="99"/>
  <c r="EI661" i="99"/>
  <c r="EH661" i="99"/>
  <c r="EF661" i="99"/>
  <c r="DW661" i="99"/>
  <c r="DV661" i="99"/>
  <c r="DU661" i="99"/>
  <c r="DS661" i="99"/>
  <c r="DJ661" i="99"/>
  <c r="DH661" i="99"/>
  <c r="DG661" i="99"/>
  <c r="DC661" i="99"/>
  <c r="CW661" i="99"/>
  <c r="CR661" i="99"/>
  <c r="CQ661" i="99"/>
  <c r="CP661" i="99"/>
  <c r="CE661" i="99"/>
  <c r="CD661" i="99"/>
  <c r="CB661" i="99"/>
  <c r="CA661" i="99"/>
  <c r="BR661" i="99"/>
  <c r="BQ661" i="99"/>
  <c r="BL661" i="99"/>
  <c r="BK661" i="99"/>
  <c r="BB661" i="99"/>
  <c r="BA661" i="99"/>
  <c r="AY661" i="99"/>
  <c r="AX661" i="99"/>
  <c r="AN661" i="99"/>
  <c r="AM661" i="99"/>
  <c r="AL661" i="99"/>
  <c r="AK661" i="99"/>
  <c r="Z661" i="99"/>
  <c r="Q661" i="99"/>
  <c r="P661" i="99"/>
  <c r="O661" i="99"/>
  <c r="JR661" i="99" s="1"/>
  <c r="N661" i="99"/>
  <c r="K661" i="99"/>
  <c r="I661" i="99"/>
  <c r="H661" i="99"/>
  <c r="G661" i="99"/>
  <c r="F661" i="99"/>
  <c r="E661" i="99"/>
  <c r="D661" i="99"/>
  <c r="C661" i="99"/>
  <c r="LO661" i="99" s="1"/>
  <c r="B661" i="99"/>
  <c r="HF660" i="99"/>
  <c r="FQ660" i="99"/>
  <c r="FC660" i="99"/>
  <c r="EM660" i="99"/>
  <c r="DB660" i="99"/>
  <c r="BY660" i="99"/>
  <c r="Q660" i="99"/>
  <c r="P660" i="99"/>
  <c r="MC660" i="99" s="1"/>
  <c r="O660" i="99"/>
  <c r="JW660" i="99" s="1"/>
  <c r="N660" i="99"/>
  <c r="K660" i="99"/>
  <c r="I660" i="99"/>
  <c r="H660" i="99"/>
  <c r="G660" i="99"/>
  <c r="F660" i="99"/>
  <c r="E660" i="99"/>
  <c r="D660" i="99"/>
  <c r="C660" i="99"/>
  <c r="DO660" i="99" s="1"/>
  <c r="B660" i="99"/>
  <c r="MI659" i="99"/>
  <c r="LN659" i="99"/>
  <c r="LF659" i="99"/>
  <c r="KM659" i="99"/>
  <c r="KJ659" i="99"/>
  <c r="JL659" i="99"/>
  <c r="JB659" i="99"/>
  <c r="JA659" i="99"/>
  <c r="IK659" i="99"/>
  <c r="IH659" i="99"/>
  <c r="GZ659" i="99"/>
  <c r="GT659" i="99"/>
  <c r="FT659" i="99"/>
  <c r="FN659" i="99"/>
  <c r="DR659" i="99"/>
  <c r="DL659" i="99"/>
  <c r="CL659" i="99"/>
  <c r="CF659" i="99"/>
  <c r="AJ659" i="99"/>
  <c r="AF659" i="99"/>
  <c r="Q659" i="99"/>
  <c r="P659" i="99"/>
  <c r="O659" i="99"/>
  <c r="N659" i="99"/>
  <c r="K659" i="99"/>
  <c r="CB659" i="99" s="1"/>
  <c r="I659" i="99"/>
  <c r="H659" i="99"/>
  <c r="G659" i="99"/>
  <c r="F659" i="99"/>
  <c r="E659" i="99"/>
  <c r="D659" i="99"/>
  <c r="C659" i="99"/>
  <c r="MA659" i="99" s="1"/>
  <c r="B659" i="99"/>
  <c r="LW659" i="99" s="1"/>
  <c r="KV658" i="99"/>
  <c r="KL658" i="99"/>
  <c r="IJ658" i="99"/>
  <c r="IB658" i="99"/>
  <c r="BL658" i="99"/>
  <c r="Q658" i="99"/>
  <c r="P658" i="99"/>
  <c r="O658" i="99"/>
  <c r="N658" i="99"/>
  <c r="K658" i="99"/>
  <c r="CL658" i="99" s="1"/>
  <c r="I658" i="99"/>
  <c r="H658" i="99"/>
  <c r="G658" i="99"/>
  <c r="F658" i="99"/>
  <c r="E658" i="99"/>
  <c r="D658" i="99"/>
  <c r="C658" i="99"/>
  <c r="KR658" i="99" s="1"/>
  <c r="B658" i="99"/>
  <c r="LH658" i="99" s="1"/>
  <c r="MH657" i="99"/>
  <c r="JV657" i="99"/>
  <c r="IF657" i="99"/>
  <c r="Q657" i="99"/>
  <c r="P657" i="99"/>
  <c r="O657" i="99"/>
  <c r="KL657" i="99" s="1"/>
  <c r="N657" i="99"/>
  <c r="K657" i="99"/>
  <c r="CQ657" i="99" s="1"/>
  <c r="I657" i="99"/>
  <c r="H657" i="99"/>
  <c r="G657" i="99"/>
  <c r="F657" i="99"/>
  <c r="E657" i="99"/>
  <c r="D657" i="99"/>
  <c r="C657" i="99"/>
  <c r="B657" i="99"/>
  <c r="LK657" i="99" s="1"/>
  <c r="HZ656" i="99"/>
  <c r="GB656" i="99"/>
  <c r="Q656" i="99"/>
  <c r="KL656" i="99" s="1"/>
  <c r="P656" i="99"/>
  <c r="O656" i="99"/>
  <c r="N656" i="99"/>
  <c r="K656" i="99"/>
  <c r="I656" i="99"/>
  <c r="H656" i="99"/>
  <c r="G656" i="99"/>
  <c r="F656" i="99"/>
  <c r="E656" i="99"/>
  <c r="D656" i="99"/>
  <c r="C656" i="99"/>
  <c r="B656" i="99"/>
  <c r="CU656" i="99" s="1"/>
  <c r="MN655" i="99"/>
  <c r="MB655" i="99"/>
  <c r="AY655" i="99"/>
  <c r="Q655" i="99"/>
  <c r="P655" i="99"/>
  <c r="O655" i="99"/>
  <c r="N655" i="99"/>
  <c r="K655" i="99"/>
  <c r="J655" i="99"/>
  <c r="I655" i="99"/>
  <c r="H655" i="99"/>
  <c r="G655" i="99"/>
  <c r="F655" i="99"/>
  <c r="E655" i="99"/>
  <c r="D655" i="99"/>
  <c r="C655" i="99"/>
  <c r="MM655" i="99" s="1"/>
  <c r="B655" i="99"/>
  <c r="ME655" i="99" s="1"/>
  <c r="KI654" i="99"/>
  <c r="IN654" i="99"/>
  <c r="IH654" i="99"/>
  <c r="IC654" i="99"/>
  <c r="GF654" i="99"/>
  <c r="GB654" i="99"/>
  <c r="FX654" i="99"/>
  <c r="ED654" i="99"/>
  <c r="Q654" i="99"/>
  <c r="KE654" i="99" s="1"/>
  <c r="P654" i="99"/>
  <c r="O654" i="99"/>
  <c r="N654" i="99"/>
  <c r="K654" i="99"/>
  <c r="J654" i="99"/>
  <c r="L654" i="99" s="1"/>
  <c r="I654" i="99"/>
  <c r="H654" i="99"/>
  <c r="G654" i="99"/>
  <c r="F654" i="99"/>
  <c r="E654" i="99"/>
  <c r="D654" i="99"/>
  <c r="C654" i="99"/>
  <c r="JN654" i="99" s="1"/>
  <c r="B654" i="99"/>
  <c r="LH654" i="99" s="1"/>
  <c r="MK653" i="99"/>
  <c r="LB653" i="99"/>
  <c r="KX653" i="99"/>
  <c r="KU653" i="99"/>
  <c r="KD653" i="99"/>
  <c r="IX653" i="99"/>
  <c r="IS653" i="99"/>
  <c r="IP653" i="99"/>
  <c r="Q653" i="99"/>
  <c r="MR653" i="99" s="1"/>
  <c r="P653" i="99"/>
  <c r="O653" i="99"/>
  <c r="N653" i="99"/>
  <c r="K653" i="99"/>
  <c r="J653" i="99"/>
  <c r="I653" i="99"/>
  <c r="H653" i="99"/>
  <c r="G653" i="99"/>
  <c r="F653" i="99"/>
  <c r="E653" i="99"/>
  <c r="D653" i="99"/>
  <c r="C653" i="99"/>
  <c r="MO653" i="99" s="1"/>
  <c r="B653" i="99"/>
  <c r="LZ652" i="99"/>
  <c r="JX652" i="99"/>
  <c r="JT652" i="99"/>
  <c r="IN652" i="99"/>
  <c r="IC652" i="99"/>
  <c r="HV652" i="99"/>
  <c r="GB652" i="99"/>
  <c r="FX652" i="99"/>
  <c r="FV652" i="99"/>
  <c r="FJ652" i="99"/>
  <c r="DT652" i="99"/>
  <c r="DJ652" i="99"/>
  <c r="CN652" i="99"/>
  <c r="AK652" i="99"/>
  <c r="AB652" i="99"/>
  <c r="Q652" i="99"/>
  <c r="IH652" i="99" s="1"/>
  <c r="P652" i="99"/>
  <c r="O652" i="99"/>
  <c r="N652" i="99"/>
  <c r="K652" i="99"/>
  <c r="J652" i="99"/>
  <c r="I652" i="99"/>
  <c r="H652" i="99"/>
  <c r="G652" i="99"/>
  <c r="F652" i="99"/>
  <c r="E652" i="99"/>
  <c r="D652" i="99"/>
  <c r="C652" i="99"/>
  <c r="B652" i="99"/>
  <c r="LN652" i="99" s="1"/>
  <c r="LO651" i="99"/>
  <c r="IB651" i="99"/>
  <c r="FG651" i="99"/>
  <c r="EX651" i="99"/>
  <c r="EN651" i="99"/>
  <c r="EE651" i="99"/>
  <c r="CQ651" i="99"/>
  <c r="CI651" i="99"/>
  <c r="CA651" i="99"/>
  <c r="BS651" i="99"/>
  <c r="AE651" i="99"/>
  <c r="Q651" i="99"/>
  <c r="MQ651" i="99" s="1"/>
  <c r="P651" i="99"/>
  <c r="HS651" i="99" s="1"/>
  <c r="O651" i="99"/>
  <c r="N651" i="99"/>
  <c r="K651" i="99"/>
  <c r="J651" i="99"/>
  <c r="I651" i="99"/>
  <c r="H651" i="99"/>
  <c r="G651" i="99"/>
  <c r="F651" i="99"/>
  <c r="E651" i="99"/>
  <c r="D651" i="99"/>
  <c r="C651" i="99"/>
  <c r="B651" i="99"/>
  <c r="GQ650" i="99"/>
  <c r="DG650" i="99"/>
  <c r="CF650" i="99"/>
  <c r="AJ650" i="99"/>
  <c r="Q650" i="99"/>
  <c r="KQ650" i="99" s="1"/>
  <c r="P650" i="99"/>
  <c r="GI650" i="99" s="1"/>
  <c r="O650" i="99"/>
  <c r="N650" i="99"/>
  <c r="K650" i="99"/>
  <c r="J650" i="99"/>
  <c r="I650" i="99"/>
  <c r="H650" i="99"/>
  <c r="G650" i="99"/>
  <c r="F650" i="99"/>
  <c r="E650" i="99"/>
  <c r="D650" i="99"/>
  <c r="C650" i="99"/>
  <c r="B650" i="99"/>
  <c r="LK650" i="99" s="1"/>
  <c r="MM649" i="99"/>
  <c r="LG649" i="99"/>
  <c r="JH649" i="99"/>
  <c r="IU649" i="99"/>
  <c r="GF649" i="99"/>
  <c r="EZ649" i="99"/>
  <c r="AB649" i="99"/>
  <c r="Q649" i="99"/>
  <c r="P649" i="99"/>
  <c r="O649" i="99"/>
  <c r="N649" i="99"/>
  <c r="K649" i="99"/>
  <c r="J649" i="99"/>
  <c r="I649" i="99"/>
  <c r="H649" i="99"/>
  <c r="L649" i="99" s="1"/>
  <c r="G649" i="99"/>
  <c r="F649" i="99"/>
  <c r="E649" i="99"/>
  <c r="D649" i="99"/>
  <c r="C649" i="99"/>
  <c r="MQ649" i="99" s="1"/>
  <c r="B649" i="99"/>
  <c r="BH649" i="99" s="1"/>
  <c r="O646" i="99"/>
  <c r="P645" i="99"/>
  <c r="G645" i="99"/>
  <c r="P644" i="99"/>
  <c r="L644" i="99"/>
  <c r="G644" i="99"/>
  <c r="T642" i="99"/>
  <c r="A640" i="99"/>
  <c r="T640" i="99" s="1"/>
  <c r="B634" i="99"/>
  <c r="M629" i="99"/>
  <c r="L629" i="99"/>
  <c r="K629" i="99"/>
  <c r="J629" i="99"/>
  <c r="I629" i="99"/>
  <c r="G629" i="99"/>
  <c r="F629" i="99"/>
  <c r="C629" i="99"/>
  <c r="M628" i="99"/>
  <c r="L628" i="99"/>
  <c r="K628" i="99"/>
  <c r="J628" i="99"/>
  <c r="I628" i="99"/>
  <c r="G628" i="99"/>
  <c r="F628" i="99"/>
  <c r="M627" i="99"/>
  <c r="L627" i="99"/>
  <c r="K627" i="99"/>
  <c r="J627" i="99"/>
  <c r="I627" i="99"/>
  <c r="G627" i="99"/>
  <c r="F627" i="99"/>
  <c r="E627" i="99"/>
  <c r="M626" i="99"/>
  <c r="L626" i="99"/>
  <c r="K626" i="99"/>
  <c r="J626" i="99"/>
  <c r="I626" i="99"/>
  <c r="G626" i="99"/>
  <c r="F626" i="99"/>
  <c r="M625" i="99"/>
  <c r="L625" i="99"/>
  <c r="K625" i="99"/>
  <c r="J625" i="99"/>
  <c r="I625" i="99"/>
  <c r="G625" i="99"/>
  <c r="F625" i="99"/>
  <c r="M624" i="99"/>
  <c r="L624" i="99"/>
  <c r="K624" i="99"/>
  <c r="J624" i="99"/>
  <c r="I624" i="99"/>
  <c r="G624" i="99"/>
  <c r="F624" i="99"/>
  <c r="M623" i="99"/>
  <c r="L623" i="99"/>
  <c r="K623" i="99"/>
  <c r="J623" i="99"/>
  <c r="I623" i="99"/>
  <c r="G623" i="99"/>
  <c r="F623" i="99"/>
  <c r="M622" i="99"/>
  <c r="L622" i="99"/>
  <c r="K622" i="99"/>
  <c r="J622" i="99"/>
  <c r="I622" i="99"/>
  <c r="G622" i="99"/>
  <c r="F622" i="99"/>
  <c r="D622" i="99"/>
  <c r="M621" i="99"/>
  <c r="L621" i="99"/>
  <c r="K621" i="99"/>
  <c r="J621" i="99"/>
  <c r="I621" i="99"/>
  <c r="G621" i="99"/>
  <c r="F621" i="99"/>
  <c r="D621" i="99"/>
  <c r="M620" i="99"/>
  <c r="L620" i="99"/>
  <c r="K620" i="99"/>
  <c r="J620" i="99"/>
  <c r="I620" i="99"/>
  <c r="G620" i="99"/>
  <c r="F620" i="99"/>
  <c r="D620" i="99"/>
  <c r="L616" i="99"/>
  <c r="I616" i="99"/>
  <c r="I615" i="99"/>
  <c r="M612" i="99"/>
  <c r="L612" i="99"/>
  <c r="K612" i="99"/>
  <c r="J612" i="99"/>
  <c r="I612" i="99"/>
  <c r="G612" i="99"/>
  <c r="F612" i="99"/>
  <c r="C612" i="99"/>
  <c r="M611" i="99"/>
  <c r="L611" i="99"/>
  <c r="K611" i="99"/>
  <c r="J611" i="99"/>
  <c r="I611" i="99"/>
  <c r="G611" i="99"/>
  <c r="F611" i="99"/>
  <c r="M610" i="99"/>
  <c r="L610" i="99"/>
  <c r="K610" i="99"/>
  <c r="J610" i="99"/>
  <c r="I610" i="99"/>
  <c r="G610" i="99"/>
  <c r="F610" i="99"/>
  <c r="E610" i="99"/>
  <c r="M609" i="99"/>
  <c r="L609" i="99"/>
  <c r="K609" i="99"/>
  <c r="J609" i="99"/>
  <c r="I609" i="99"/>
  <c r="G609" i="99"/>
  <c r="F609" i="99"/>
  <c r="M608" i="99"/>
  <c r="L608" i="99"/>
  <c r="K608" i="99"/>
  <c r="J608" i="99"/>
  <c r="I608" i="99"/>
  <c r="G608" i="99"/>
  <c r="F608" i="99"/>
  <c r="M607" i="99"/>
  <c r="L607" i="99"/>
  <c r="K607" i="99"/>
  <c r="J607" i="99"/>
  <c r="I607" i="99"/>
  <c r="G607" i="99"/>
  <c r="F607" i="99"/>
  <c r="M606" i="99"/>
  <c r="L606" i="99"/>
  <c r="K606" i="99"/>
  <c r="J606" i="99"/>
  <c r="I606" i="99"/>
  <c r="G606" i="99"/>
  <c r="F606" i="99"/>
  <c r="M605" i="99"/>
  <c r="L605" i="99"/>
  <c r="K605" i="99"/>
  <c r="J605" i="99"/>
  <c r="I605" i="99"/>
  <c r="G605" i="99"/>
  <c r="F605" i="99"/>
  <c r="D605" i="99"/>
  <c r="M604" i="99"/>
  <c r="L604" i="99"/>
  <c r="K604" i="99"/>
  <c r="J604" i="99"/>
  <c r="I604" i="99"/>
  <c r="G604" i="99"/>
  <c r="F604" i="99"/>
  <c r="D604" i="99"/>
  <c r="M603" i="99"/>
  <c r="L603" i="99"/>
  <c r="K603" i="99"/>
  <c r="J603" i="99"/>
  <c r="I603" i="99"/>
  <c r="G603" i="99"/>
  <c r="F603" i="99"/>
  <c r="D603" i="99"/>
  <c r="L599" i="99"/>
  <c r="I599" i="99"/>
  <c r="I598" i="99"/>
  <c r="B594" i="99"/>
  <c r="A592" i="99"/>
  <c r="D587" i="99"/>
  <c r="B587" i="99"/>
  <c r="H584" i="99"/>
  <c r="F584" i="99"/>
  <c r="A584" i="99"/>
  <c r="D581" i="99"/>
  <c r="B581" i="99"/>
  <c r="H578" i="99"/>
  <c r="F578" i="99"/>
  <c r="A578" i="99"/>
  <c r="B575" i="99"/>
  <c r="F572" i="99"/>
  <c r="A572" i="99"/>
  <c r="B569" i="99"/>
  <c r="F566" i="99"/>
  <c r="A566" i="99"/>
  <c r="B564" i="99"/>
  <c r="F561" i="99"/>
  <c r="A561" i="99"/>
  <c r="B558" i="99"/>
  <c r="F555" i="99"/>
  <c r="A555" i="99"/>
  <c r="D552" i="99"/>
  <c r="B552" i="99"/>
  <c r="H549" i="99"/>
  <c r="F549" i="99"/>
  <c r="A549" i="99"/>
  <c r="D546" i="99"/>
  <c r="B546" i="99"/>
  <c r="H543" i="99"/>
  <c r="F543" i="99"/>
  <c r="A543" i="99"/>
  <c r="D541" i="99"/>
  <c r="B541" i="99"/>
  <c r="H538" i="99"/>
  <c r="F538" i="99"/>
  <c r="A538" i="99"/>
  <c r="D535" i="99"/>
  <c r="B535" i="99"/>
  <c r="H532" i="99"/>
  <c r="F532" i="99"/>
  <c r="A532" i="99"/>
  <c r="D529" i="99"/>
  <c r="B529" i="99"/>
  <c r="H526" i="99"/>
  <c r="F526" i="99"/>
  <c r="A526" i="99"/>
  <c r="D524" i="99"/>
  <c r="B524" i="99"/>
  <c r="H521" i="99"/>
  <c r="F521" i="99"/>
  <c r="A521" i="99"/>
  <c r="D519" i="99"/>
  <c r="B519" i="99"/>
  <c r="H516" i="99"/>
  <c r="F516" i="99"/>
  <c r="A516" i="99"/>
  <c r="A505" i="99"/>
  <c r="S501" i="99"/>
  <c r="S499" i="99"/>
  <c r="J499" i="99"/>
  <c r="S497" i="99"/>
  <c r="U497" i="99" s="1"/>
  <c r="J497" i="99"/>
  <c r="Z493" i="99"/>
  <c r="Z492" i="99"/>
  <c r="Q492" i="99"/>
  <c r="N492" i="99"/>
  <c r="T489" i="99"/>
  <c r="N489" i="99"/>
  <c r="J489" i="99"/>
  <c r="W485" i="99"/>
  <c r="P479" i="99"/>
  <c r="M479" i="99"/>
  <c r="J479" i="99"/>
  <c r="R475" i="99"/>
  <c r="P475" i="99"/>
  <c r="J475" i="99"/>
  <c r="H475" i="99"/>
  <c r="W471" i="99"/>
  <c r="V469" i="99"/>
  <c r="J469" i="99"/>
  <c r="J473" i="99" s="1"/>
  <c r="P468" i="99"/>
  <c r="J468" i="99"/>
  <c r="C468" i="99"/>
  <c r="P467" i="99"/>
  <c r="J467" i="99"/>
  <c r="P466" i="99"/>
  <c r="J466" i="99"/>
  <c r="P465" i="99"/>
  <c r="J465" i="99"/>
  <c r="P464" i="99"/>
  <c r="J464" i="99"/>
  <c r="P463" i="99"/>
  <c r="J463" i="99"/>
  <c r="W461" i="99"/>
  <c r="W460" i="99"/>
  <c r="V454" i="99"/>
  <c r="S453" i="99"/>
  <c r="S454" i="99" s="1"/>
  <c r="P453" i="99"/>
  <c r="M453" i="99"/>
  <c r="J453" i="99"/>
  <c r="G453" i="99"/>
  <c r="A453" i="99" s="1"/>
  <c r="C453" i="99"/>
  <c r="U453" i="99" s="1"/>
  <c r="S452" i="99"/>
  <c r="P452" i="99"/>
  <c r="P454" i="99" s="1"/>
  <c r="M452" i="99"/>
  <c r="J452" i="99"/>
  <c r="G452" i="99"/>
  <c r="G454" i="99" s="1"/>
  <c r="W451" i="99"/>
  <c r="O451" i="99"/>
  <c r="V449" i="99"/>
  <c r="V445" i="99"/>
  <c r="S444" i="99"/>
  <c r="P444" i="99"/>
  <c r="M444" i="99"/>
  <c r="J444" i="99"/>
  <c r="G444" i="99"/>
  <c r="U444" i="99" s="1"/>
  <c r="C444" i="99"/>
  <c r="S443" i="99"/>
  <c r="P443" i="99"/>
  <c r="M443" i="99"/>
  <c r="J443" i="99"/>
  <c r="J445" i="99" s="1"/>
  <c r="G443" i="99"/>
  <c r="S442" i="99"/>
  <c r="G442" i="99"/>
  <c r="S441" i="99"/>
  <c r="G441" i="99"/>
  <c r="J441" i="99" s="1"/>
  <c r="S440" i="99"/>
  <c r="G440" i="99"/>
  <c r="J440" i="99" s="1"/>
  <c r="S439" i="99"/>
  <c r="G439" i="99"/>
  <c r="W438" i="99"/>
  <c r="O438" i="99"/>
  <c r="AC437" i="99"/>
  <c r="AA437" i="99"/>
  <c r="V437" i="99"/>
  <c r="P437" i="99"/>
  <c r="AC436" i="99"/>
  <c r="AB436" i="99"/>
  <c r="AD436" i="99" s="1"/>
  <c r="AA436" i="99"/>
  <c r="S436" i="99"/>
  <c r="P436" i="99"/>
  <c r="M436" i="99"/>
  <c r="J436" i="99"/>
  <c r="G436" i="99"/>
  <c r="F436" i="99"/>
  <c r="AG435" i="99"/>
  <c r="AD437" i="99" s="1"/>
  <c r="AC435" i="99"/>
  <c r="AD435" i="99" s="1"/>
  <c r="AB435" i="99"/>
  <c r="AA435" i="99"/>
  <c r="S435" i="99"/>
  <c r="P435" i="99"/>
  <c r="M435" i="99"/>
  <c r="J435" i="99"/>
  <c r="G435" i="99"/>
  <c r="F435" i="99"/>
  <c r="AC434" i="99"/>
  <c r="AA434" i="99"/>
  <c r="S434" i="99"/>
  <c r="P434" i="99"/>
  <c r="M434" i="99"/>
  <c r="M437" i="99" s="1"/>
  <c r="J434" i="99"/>
  <c r="G434" i="99"/>
  <c r="F434" i="99"/>
  <c r="AC433" i="99"/>
  <c r="AB433" i="99"/>
  <c r="AA433" i="99"/>
  <c r="AG432" i="99"/>
  <c r="AC432" i="99"/>
  <c r="AD432" i="99" s="1"/>
  <c r="AB432" i="99"/>
  <c r="AA432" i="99"/>
  <c r="S432" i="99"/>
  <c r="S437" i="99" s="1"/>
  <c r="P432" i="99"/>
  <c r="M432" i="99"/>
  <c r="J432" i="99"/>
  <c r="G432" i="99"/>
  <c r="F432" i="99"/>
  <c r="W431" i="99"/>
  <c r="O431" i="99"/>
  <c r="E431" i="99"/>
  <c r="E437" i="99" s="1"/>
  <c r="V430" i="99"/>
  <c r="S429" i="99"/>
  <c r="G429" i="99"/>
  <c r="U429" i="99" s="1"/>
  <c r="C429" i="99"/>
  <c r="A429" i="99"/>
  <c r="F1521" i="99" s="1"/>
  <c r="S428" i="99"/>
  <c r="G428" i="99"/>
  <c r="S427" i="99"/>
  <c r="G427" i="99"/>
  <c r="S426" i="99"/>
  <c r="S430" i="99" s="1"/>
  <c r="G426" i="99"/>
  <c r="G430" i="99" s="1"/>
  <c r="W425" i="99"/>
  <c r="O425" i="99"/>
  <c r="V424" i="99"/>
  <c r="S423" i="99"/>
  <c r="G423" i="99"/>
  <c r="C423" i="99"/>
  <c r="S422" i="99"/>
  <c r="G422" i="99"/>
  <c r="A422" i="99" s="1"/>
  <c r="C422" i="99"/>
  <c r="U422" i="99" s="1"/>
  <c r="S421" i="99"/>
  <c r="G421" i="99"/>
  <c r="F421" i="99"/>
  <c r="S420" i="99"/>
  <c r="G420" i="99"/>
  <c r="S419" i="99"/>
  <c r="G419" i="99"/>
  <c r="AF418" i="99"/>
  <c r="AD418" i="99"/>
  <c r="S418" i="99"/>
  <c r="G418" i="99"/>
  <c r="S417" i="99"/>
  <c r="G417" i="99"/>
  <c r="S416" i="99"/>
  <c r="G416" i="99"/>
  <c r="G424" i="99" s="1"/>
  <c r="B416" i="99"/>
  <c r="AD415" i="99"/>
  <c r="S415" i="99"/>
  <c r="G415" i="99"/>
  <c r="B415" i="99"/>
  <c r="AD414" i="99"/>
  <c r="W414" i="99"/>
  <c r="O414" i="99"/>
  <c r="V413" i="99"/>
  <c r="S412" i="99"/>
  <c r="G412" i="99"/>
  <c r="U412" i="99" s="1"/>
  <c r="C412" i="99"/>
  <c r="A412" i="99" s="1"/>
  <c r="S411" i="99"/>
  <c r="G411" i="99"/>
  <c r="S410" i="99"/>
  <c r="G410" i="99"/>
  <c r="S409" i="99"/>
  <c r="G409" i="99"/>
  <c r="S408" i="99"/>
  <c r="G408" i="99"/>
  <c r="S407" i="99"/>
  <c r="G407" i="99"/>
  <c r="W406" i="99"/>
  <c r="O406" i="99"/>
  <c r="V404" i="99"/>
  <c r="V402" i="99"/>
  <c r="S401" i="99"/>
  <c r="P401" i="99"/>
  <c r="M401" i="99"/>
  <c r="J401" i="99"/>
  <c r="G401" i="99"/>
  <c r="E401" i="99"/>
  <c r="S400" i="99"/>
  <c r="P400" i="99"/>
  <c r="M400" i="99"/>
  <c r="J400" i="99"/>
  <c r="G400" i="99"/>
  <c r="E400" i="99"/>
  <c r="S399" i="99"/>
  <c r="P399" i="99"/>
  <c r="M399" i="99"/>
  <c r="J399" i="99"/>
  <c r="G399" i="99"/>
  <c r="S398" i="99"/>
  <c r="S402" i="99" s="1"/>
  <c r="P398" i="99"/>
  <c r="M398" i="99"/>
  <c r="J398" i="99"/>
  <c r="G398" i="99"/>
  <c r="W397" i="99"/>
  <c r="O397" i="99"/>
  <c r="V396" i="99"/>
  <c r="S395" i="99"/>
  <c r="P395" i="99"/>
  <c r="M395" i="99"/>
  <c r="J395" i="99"/>
  <c r="G395" i="99"/>
  <c r="C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W384" i="99"/>
  <c r="O384" i="99"/>
  <c r="V383" i="99"/>
  <c r="S382" i="99"/>
  <c r="P382" i="99"/>
  <c r="M382" i="99"/>
  <c r="J382" i="99"/>
  <c r="G382" i="99"/>
  <c r="C382" i="99"/>
  <c r="S381" i="99"/>
  <c r="P381" i="99"/>
  <c r="M381" i="99"/>
  <c r="J381" i="99"/>
  <c r="G381" i="99"/>
  <c r="A381" i="99" s="1"/>
  <c r="C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W370" i="99"/>
  <c r="O370" i="99"/>
  <c r="S365" i="99"/>
  <c r="P365" i="99"/>
  <c r="M365" i="99"/>
  <c r="J365" i="99"/>
  <c r="G365" i="99"/>
  <c r="W364" i="99"/>
  <c r="O364" i="99"/>
  <c r="W361" i="99"/>
  <c r="S356" i="99"/>
  <c r="P356" i="99"/>
  <c r="M356" i="99"/>
  <c r="J356" i="99"/>
  <c r="G356" i="99"/>
  <c r="C356" i="99"/>
  <c r="W355" i="99"/>
  <c r="O355" i="99"/>
  <c r="V351" i="99"/>
  <c r="J351" i="99"/>
  <c r="S350" i="99"/>
  <c r="P350" i="99"/>
  <c r="M350" i="99"/>
  <c r="J350" i="99"/>
  <c r="G350" i="99"/>
  <c r="F350" i="99"/>
  <c r="F347" i="99" s="1"/>
  <c r="D350" i="99"/>
  <c r="S349" i="99"/>
  <c r="P349" i="99"/>
  <c r="M349" i="99"/>
  <c r="J349" i="99"/>
  <c r="G349" i="99"/>
  <c r="F349" i="99"/>
  <c r="D349" i="99"/>
  <c r="S348" i="99"/>
  <c r="S351" i="99" s="1"/>
  <c r="P348" i="99"/>
  <c r="M348" i="99"/>
  <c r="M351" i="99" s="1"/>
  <c r="J348" i="99"/>
  <c r="G348" i="99"/>
  <c r="F348" i="99"/>
  <c r="D348" i="99"/>
  <c r="W347" i="99"/>
  <c r="O347" i="99"/>
  <c r="V346" i="99"/>
  <c r="S345" i="99"/>
  <c r="P345" i="99"/>
  <c r="M345" i="99"/>
  <c r="J345" i="99"/>
  <c r="G345" i="99"/>
  <c r="S344" i="99"/>
  <c r="P344" i="99"/>
  <c r="M344" i="99"/>
  <c r="J344" i="99"/>
  <c r="G344" i="99"/>
  <c r="S343" i="99"/>
  <c r="P343" i="99"/>
  <c r="M343" i="99"/>
  <c r="J343" i="99"/>
  <c r="G343" i="99"/>
  <c r="S342" i="99"/>
  <c r="P342" i="99"/>
  <c r="M342" i="99"/>
  <c r="J342" i="99"/>
  <c r="G342" i="99"/>
  <c r="S341" i="99"/>
  <c r="P341" i="99"/>
  <c r="M341" i="99"/>
  <c r="J341" i="99"/>
  <c r="G341" i="99"/>
  <c r="S340" i="99"/>
  <c r="P340" i="99"/>
  <c r="M340" i="99"/>
  <c r="J340" i="99"/>
  <c r="G340" i="99"/>
  <c r="G346" i="99" s="1"/>
  <c r="W339" i="99"/>
  <c r="O339" i="99"/>
  <c r="V338" i="99"/>
  <c r="S337" i="99"/>
  <c r="J337" i="99"/>
  <c r="G337" i="99"/>
  <c r="S336" i="99"/>
  <c r="S338" i="99" s="1"/>
  <c r="P336" i="99"/>
  <c r="P338" i="99" s="1"/>
  <c r="M336" i="99"/>
  <c r="M338" i="99" s="1"/>
  <c r="J336" i="99"/>
  <c r="G336" i="99"/>
  <c r="W335" i="99"/>
  <c r="O335" i="99"/>
  <c r="V334" i="99"/>
  <c r="S334" i="99"/>
  <c r="S333" i="99"/>
  <c r="M333" i="99"/>
  <c r="G333" i="99"/>
  <c r="S332" i="99"/>
  <c r="M332" i="99"/>
  <c r="G332" i="99"/>
  <c r="S331" i="99"/>
  <c r="G331" i="99"/>
  <c r="S330" i="99"/>
  <c r="G330" i="99"/>
  <c r="F330" i="99" s="1"/>
  <c r="W329" i="99"/>
  <c r="O329" i="99"/>
  <c r="V328" i="99"/>
  <c r="U327" i="99"/>
  <c r="S327" i="99"/>
  <c r="P327" i="99"/>
  <c r="M327" i="99"/>
  <c r="J327" i="99"/>
  <c r="G327" i="99"/>
  <c r="A327" i="99" s="1"/>
  <c r="C327" i="99"/>
  <c r="U326" i="99"/>
  <c r="S326" i="99"/>
  <c r="P326" i="99"/>
  <c r="M326" i="99"/>
  <c r="J326" i="99"/>
  <c r="G326" i="99"/>
  <c r="A326" i="99" s="1"/>
  <c r="C326" i="99"/>
  <c r="U325" i="99"/>
  <c r="S325" i="99"/>
  <c r="P325" i="99"/>
  <c r="M325" i="99"/>
  <c r="J325" i="99"/>
  <c r="G325" i="99"/>
  <c r="A325" i="99" s="1"/>
  <c r="C325" i="99"/>
  <c r="S324" i="99"/>
  <c r="P324" i="99"/>
  <c r="M324" i="99"/>
  <c r="J324" i="99"/>
  <c r="G324" i="99"/>
  <c r="S323" i="99"/>
  <c r="P323" i="99"/>
  <c r="M323" i="99"/>
  <c r="J323" i="99"/>
  <c r="G323" i="99"/>
  <c r="S322" i="99"/>
  <c r="P322" i="99"/>
  <c r="M322" i="99"/>
  <c r="J322" i="99"/>
  <c r="G322" i="99"/>
  <c r="S321" i="99"/>
  <c r="P321" i="99"/>
  <c r="M321" i="99"/>
  <c r="J321" i="99"/>
  <c r="G321" i="99"/>
  <c r="S320" i="99"/>
  <c r="P320" i="99"/>
  <c r="M320" i="99"/>
  <c r="J320" i="99"/>
  <c r="G320" i="99"/>
  <c r="S319" i="99"/>
  <c r="P319" i="99"/>
  <c r="M319" i="99"/>
  <c r="J319" i="99"/>
  <c r="G319" i="99"/>
  <c r="W318" i="99"/>
  <c r="O318" i="99"/>
  <c r="V316" i="99"/>
  <c r="D316" i="99"/>
  <c r="A312" i="99"/>
  <c r="W312" i="99" s="1"/>
  <c r="A308" i="99"/>
  <c r="I301" i="99"/>
  <c r="E301" i="99"/>
  <c r="C301" i="99"/>
  <c r="I300" i="99"/>
  <c r="E300" i="99"/>
  <c r="C300" i="99"/>
  <c r="I299" i="99"/>
  <c r="E299" i="99"/>
  <c r="C299" i="99"/>
  <c r="I298" i="99"/>
  <c r="E298" i="99"/>
  <c r="I297" i="99"/>
  <c r="E297" i="99"/>
  <c r="I296" i="99"/>
  <c r="E296" i="99"/>
  <c r="I295" i="99"/>
  <c r="E295" i="99"/>
  <c r="I294" i="99"/>
  <c r="E294" i="99"/>
  <c r="I293" i="99"/>
  <c r="E293" i="99"/>
  <c r="I292" i="99"/>
  <c r="E292" i="99"/>
  <c r="I291" i="99"/>
  <c r="E291" i="99"/>
  <c r="N287" i="99"/>
  <c r="M287" i="99"/>
  <c r="L287" i="99"/>
  <c r="K287" i="99"/>
  <c r="I287" i="99"/>
  <c r="E287" i="99"/>
  <c r="I286" i="99"/>
  <c r="E286" i="99"/>
  <c r="N285" i="99"/>
  <c r="M285" i="99"/>
  <c r="L285" i="99"/>
  <c r="K285" i="99"/>
  <c r="I285" i="99"/>
  <c r="E285" i="99"/>
  <c r="C285" i="99"/>
  <c r="N284" i="99"/>
  <c r="M284" i="99"/>
  <c r="L284" i="99"/>
  <c r="K284" i="99"/>
  <c r="I284" i="99"/>
  <c r="E284" i="99"/>
  <c r="N283" i="99"/>
  <c r="M283" i="99"/>
  <c r="L283" i="99"/>
  <c r="K283" i="99"/>
  <c r="I283" i="99"/>
  <c r="E283" i="99"/>
  <c r="N282" i="99"/>
  <c r="M282" i="99"/>
  <c r="L282" i="99"/>
  <c r="K282" i="99"/>
  <c r="I282" i="99"/>
  <c r="E282" i="99"/>
  <c r="S279" i="99"/>
  <c r="L274" i="99"/>
  <c r="H274" i="99"/>
  <c r="D274" i="99"/>
  <c r="L273" i="99"/>
  <c r="H273" i="99"/>
  <c r="D273" i="99"/>
  <c r="L272" i="99"/>
  <c r="H272" i="99"/>
  <c r="D272" i="99"/>
  <c r="L271" i="99"/>
  <c r="H271" i="99"/>
  <c r="L270" i="99"/>
  <c r="H270" i="99"/>
  <c r="L269" i="99"/>
  <c r="H269" i="99"/>
  <c r="L268" i="99"/>
  <c r="H268" i="99"/>
  <c r="L267" i="99"/>
  <c r="H267" i="99"/>
  <c r="P266" i="99"/>
  <c r="N266" i="99"/>
  <c r="L266" i="99"/>
  <c r="H266" i="99"/>
  <c r="P265" i="99"/>
  <c r="N265" i="99"/>
  <c r="L265" i="99"/>
  <c r="H265" i="99"/>
  <c r="P264" i="99"/>
  <c r="N264" i="99"/>
  <c r="L264" i="99"/>
  <c r="H264" i="99"/>
  <c r="S261" i="99"/>
  <c r="L258" i="99"/>
  <c r="I258" i="99"/>
  <c r="E258" i="99"/>
  <c r="B258" i="99"/>
  <c r="L257" i="99"/>
  <c r="E257" i="99"/>
  <c r="B257" i="99"/>
  <c r="L256" i="99"/>
  <c r="E256" i="99"/>
  <c r="B256" i="99"/>
  <c r="L255" i="99"/>
  <c r="H255" i="99"/>
  <c r="E255" i="99"/>
  <c r="B255" i="99"/>
  <c r="L254" i="99"/>
  <c r="F254" i="99"/>
  <c r="B254" i="99"/>
  <c r="L253" i="99"/>
  <c r="F253" i="99"/>
  <c r="E253" i="99"/>
  <c r="B253" i="99"/>
  <c r="L252" i="99"/>
  <c r="F252" i="99"/>
  <c r="B252" i="99"/>
  <c r="L251" i="99"/>
  <c r="F251" i="99"/>
  <c r="E251" i="99"/>
  <c r="B251" i="99"/>
  <c r="L250" i="99"/>
  <c r="H250" i="99"/>
  <c r="B250" i="99"/>
  <c r="L249" i="99"/>
  <c r="I249" i="99"/>
  <c r="E249" i="99"/>
  <c r="B249" i="99"/>
  <c r="L248" i="99"/>
  <c r="I248" i="99"/>
  <c r="E248" i="99"/>
  <c r="B248" i="99"/>
  <c r="S246" i="99"/>
  <c r="L246" i="99"/>
  <c r="A240" i="99"/>
  <c r="N237" i="99"/>
  <c r="M237" i="99"/>
  <c r="L237" i="99"/>
  <c r="K237" i="99"/>
  <c r="J237" i="99"/>
  <c r="I237" i="99"/>
  <c r="E237" i="99"/>
  <c r="N236" i="99"/>
  <c r="M236" i="99"/>
  <c r="L236" i="99"/>
  <c r="K236" i="99"/>
  <c r="J236" i="99"/>
  <c r="I236" i="99"/>
  <c r="E236" i="99"/>
  <c r="N235" i="99"/>
  <c r="M235" i="99"/>
  <c r="L235" i="99"/>
  <c r="K235" i="99"/>
  <c r="J235" i="99"/>
  <c r="I235" i="99"/>
  <c r="E235" i="99"/>
  <c r="N234" i="99"/>
  <c r="M234" i="99"/>
  <c r="L234" i="99"/>
  <c r="K234" i="99"/>
  <c r="J234" i="99"/>
  <c r="I234" i="99"/>
  <c r="E234" i="99"/>
  <c r="N233" i="99"/>
  <c r="M233" i="99"/>
  <c r="L233" i="99"/>
  <c r="K233" i="99"/>
  <c r="J233" i="99"/>
  <c r="I233" i="99"/>
  <c r="E233" i="99"/>
  <c r="N232" i="99"/>
  <c r="M232" i="99"/>
  <c r="L232" i="99"/>
  <c r="K232" i="99"/>
  <c r="J232" i="99"/>
  <c r="I232" i="99"/>
  <c r="E232" i="99"/>
  <c r="N231" i="99"/>
  <c r="M231" i="99"/>
  <c r="L231" i="99"/>
  <c r="K231" i="99"/>
  <c r="J231" i="99"/>
  <c r="I231" i="99"/>
  <c r="E231" i="99"/>
  <c r="N230" i="99"/>
  <c r="M230" i="99"/>
  <c r="L230" i="99"/>
  <c r="K230" i="99"/>
  <c r="J230" i="99"/>
  <c r="I230" i="99"/>
  <c r="E230" i="99"/>
  <c r="N229" i="99"/>
  <c r="M229" i="99"/>
  <c r="L229" i="99"/>
  <c r="K229" i="99"/>
  <c r="J229" i="99"/>
  <c r="I229" i="99"/>
  <c r="E229" i="99"/>
  <c r="N228" i="99"/>
  <c r="M228" i="99"/>
  <c r="L228" i="99"/>
  <c r="K228" i="99"/>
  <c r="J228" i="99"/>
  <c r="I228" i="99"/>
  <c r="E228" i="99"/>
  <c r="N227" i="99"/>
  <c r="M227" i="99"/>
  <c r="L227" i="99"/>
  <c r="K227" i="99"/>
  <c r="J227" i="99"/>
  <c r="I227" i="99"/>
  <c r="E227" i="99"/>
  <c r="N226" i="99"/>
  <c r="M226" i="99"/>
  <c r="L226" i="99"/>
  <c r="K226" i="99"/>
  <c r="J226" i="99"/>
  <c r="I226" i="99"/>
  <c r="E226" i="99"/>
  <c r="N225" i="99"/>
  <c r="M225" i="99"/>
  <c r="L225" i="99"/>
  <c r="K225" i="99"/>
  <c r="J225" i="99"/>
  <c r="I225" i="99"/>
  <c r="E225" i="99"/>
  <c r="I216" i="99"/>
  <c r="H216" i="99"/>
  <c r="C216" i="99"/>
  <c r="I215" i="99"/>
  <c r="H215" i="99"/>
  <c r="I214" i="99"/>
  <c r="H214" i="99"/>
  <c r="I213" i="99"/>
  <c r="H213" i="99"/>
  <c r="I212" i="99"/>
  <c r="H212" i="99"/>
  <c r="I211" i="99"/>
  <c r="H211" i="99"/>
  <c r="I210" i="99"/>
  <c r="H210" i="99"/>
  <c r="I209" i="99"/>
  <c r="H209"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J176" i="99"/>
  <c r="H176" i="99"/>
  <c r="Q175" i="99"/>
  <c r="H175" i="99"/>
  <c r="Q174" i="99"/>
  <c r="L174"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105" i="99"/>
  <c r="J105" i="99"/>
  <c r="H105" i="99"/>
  <c r="Q104" i="99"/>
  <c r="L104" i="99"/>
  <c r="H104" i="99"/>
  <c r="Q103" i="99"/>
  <c r="L103" i="99"/>
  <c r="H103" i="99"/>
  <c r="Q102" i="99"/>
  <c r="H102" i="99"/>
  <c r="Q101" i="99"/>
  <c r="H101"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3" i="99"/>
  <c r="J73" i="99"/>
  <c r="H73" i="99"/>
  <c r="Q72" i="99"/>
  <c r="L72" i="99"/>
  <c r="H72" i="99"/>
  <c r="Q71" i="99"/>
  <c r="L71" i="99"/>
  <c r="H71" i="99"/>
  <c r="Q70" i="99"/>
  <c r="H70" i="99"/>
  <c r="Q69" i="99"/>
  <c r="H69" i="99"/>
  <c r="L64" i="99"/>
  <c r="J64" i="99"/>
  <c r="H64" i="99"/>
  <c r="Q63" i="99"/>
  <c r="M63" i="99"/>
  <c r="J63" i="99"/>
  <c r="H63" i="99"/>
  <c r="Q62" i="99"/>
  <c r="L62" i="99"/>
  <c r="H62" i="99"/>
  <c r="Q61" i="99"/>
  <c r="H61" i="99"/>
  <c r="Q60" i="99"/>
  <c r="H60" i="99"/>
  <c r="O58" i="99"/>
  <c r="A56" i="99"/>
  <c r="M52" i="99"/>
  <c r="A52" i="99"/>
  <c r="O48" i="99"/>
  <c r="I48" i="99"/>
  <c r="O47" i="99"/>
  <c r="I47" i="99"/>
  <c r="F39" i="99"/>
  <c r="K39" i="99" s="1"/>
  <c r="O38" i="99"/>
  <c r="F38" i="99"/>
  <c r="P37" i="99"/>
  <c r="F37" i="99"/>
  <c r="P36" i="99"/>
  <c r="F36" i="99"/>
  <c r="O32" i="99"/>
  <c r="F32" i="99"/>
  <c r="O31" i="99"/>
  <c r="M31" i="99"/>
  <c r="J31" i="99"/>
  <c r="F31" i="99"/>
  <c r="J30" i="99"/>
  <c r="F30" i="99"/>
  <c r="F29" i="99"/>
  <c r="A9" i="99" s="1"/>
  <c r="N28" i="99"/>
  <c r="J28" i="99"/>
  <c r="F28" i="99"/>
  <c r="O26" i="99"/>
  <c r="F26" i="99"/>
  <c r="O25" i="99"/>
  <c r="M25" i="99"/>
  <c r="J25" i="99"/>
  <c r="F25" i="99"/>
  <c r="J24" i="99"/>
  <c r="F24" i="99"/>
  <c r="F23" i="99"/>
  <c r="N22" i="99"/>
  <c r="J22" i="99"/>
  <c r="F22" i="99"/>
  <c r="O19" i="99"/>
  <c r="F19" i="99"/>
  <c r="O17" i="99"/>
  <c r="O14" i="99"/>
  <c r="A13" i="99"/>
  <c r="A5" i="99"/>
  <c r="F103" i="92"/>
  <c r="F101" i="92"/>
  <c r="F95" i="92"/>
  <c r="I65" i="92"/>
  <c r="D53" i="92"/>
  <c r="H52" i="92"/>
  <c r="C52" i="92"/>
  <c r="I9" i="92"/>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L11" i="95"/>
  <c r="G11" i="91"/>
  <c r="K67" i="93"/>
  <c r="C63" i="93"/>
  <c r="D63" i="93" s="1"/>
  <c r="I63" i="93" s="1"/>
  <c r="I62" i="93"/>
  <c r="C62" i="93"/>
  <c r="D62" i="93" s="1"/>
  <c r="C61" i="93"/>
  <c r="D61" i="93" s="1"/>
  <c r="I61" i="93" s="1"/>
  <c r="C60" i="93"/>
  <c r="D60" i="93" s="1"/>
  <c r="I60" i="93" s="1"/>
  <c r="C59" i="93"/>
  <c r="D59" i="93" s="1"/>
  <c r="I59" i="93" s="1"/>
  <c r="C58" i="93"/>
  <c r="D58" i="93" s="1"/>
  <c r="K53" i="93"/>
  <c r="G36" i="93"/>
  <c r="H36" i="93" s="1"/>
  <c r="G34" i="93"/>
  <c r="H34" i="93" s="1"/>
  <c r="J20" i="93"/>
  <c r="J45" i="93" s="1"/>
  <c r="J19" i="93"/>
  <c r="J22" i="93" s="1"/>
  <c r="G48" i="93" s="1"/>
  <c r="H48" i="93" s="1"/>
  <c r="D3" i="93"/>
  <c r="K67" i="96"/>
  <c r="C63" i="96"/>
  <c r="D63" i="96" s="1"/>
  <c r="I63" i="96" s="1"/>
  <c r="C62" i="96"/>
  <c r="D62" i="96" s="1"/>
  <c r="I62" i="96" s="1"/>
  <c r="C61" i="96"/>
  <c r="D61" i="96" s="1"/>
  <c r="I61" i="96" s="1"/>
  <c r="C60" i="96"/>
  <c r="D60" i="96" s="1"/>
  <c r="I60" i="96" s="1"/>
  <c r="C59" i="96"/>
  <c r="C58" i="96"/>
  <c r="D58" i="96" s="1"/>
  <c r="I58" i="96" s="1"/>
  <c r="K53" i="96"/>
  <c r="J19" i="96"/>
  <c r="D3" i="96"/>
  <c r="A222" i="90"/>
  <c r="A221" i="90"/>
  <c r="A220" i="90"/>
  <c r="A219" i="90"/>
  <c r="A218" i="90"/>
  <c r="A217" i="90"/>
  <c r="A216" i="90"/>
  <c r="A215" i="90"/>
  <c r="A205" i="90"/>
  <c r="A202" i="90"/>
  <c r="F199" i="90"/>
  <c r="E186" i="90"/>
  <c r="E165" i="90"/>
  <c r="C160" i="90"/>
  <c r="C143" i="90"/>
  <c r="D102" i="90"/>
  <c r="E97" i="90"/>
  <c r="E93" i="90"/>
  <c r="E82" i="90"/>
  <c r="C58" i="90"/>
  <c r="C56" i="90"/>
  <c r="D34" i="90"/>
  <c r="C16" i="90"/>
  <c r="C5" i="90"/>
  <c r="F77" i="89"/>
  <c r="E185" i="90" s="1"/>
  <c r="F75" i="89"/>
  <c r="E173" i="90" s="1"/>
  <c r="F73" i="89"/>
  <c r="E168" i="90" s="1"/>
  <c r="F58" i="89"/>
  <c r="C48" i="90" s="1"/>
  <c r="E50" i="89"/>
  <c r="G49" i="89"/>
  <c r="E49" i="89"/>
  <c r="E47" i="89"/>
  <c r="F39" i="89"/>
  <c r="D80" i="90" s="1"/>
  <c r="F30" i="89"/>
  <c r="D63" i="90" s="1"/>
  <c r="D56" i="92" s="1"/>
  <c r="E28" i="89"/>
  <c r="E27" i="89"/>
  <c r="E24" i="89"/>
  <c r="E23" i="89"/>
  <c r="E22" i="89"/>
  <c r="E21" i="89"/>
  <c r="E20" i="89"/>
  <c r="E19" i="89"/>
  <c r="C139" i="90" s="1"/>
  <c r="E17" i="89"/>
  <c r="C31" i="90" s="1"/>
  <c r="E16" i="89"/>
  <c r="C30" i="90" s="1"/>
  <c r="F48" i="92" s="1"/>
  <c r="E13" i="89"/>
  <c r="E12" i="89"/>
  <c r="C23" i="90" s="1"/>
  <c r="E11" i="89"/>
  <c r="C25" i="90" s="1"/>
  <c r="E10" i="89"/>
  <c r="C15" i="90" s="1"/>
  <c r="E9" i="89"/>
  <c r="H7" i="92" s="1"/>
  <c r="E8" i="89"/>
  <c r="C19" i="90" s="1"/>
  <c r="C144" i="90" s="1"/>
  <c r="E7" i="89"/>
  <c r="C18" i="90" s="1"/>
  <c r="J5" i="87"/>
  <c r="G5" i="87"/>
  <c r="D5" i="87"/>
  <c r="A5" i="87"/>
  <c r="H54" i="86"/>
  <c r="G54" i="86"/>
  <c r="F54" i="86"/>
  <c r="E54" i="86"/>
  <c r="D54" i="86"/>
  <c r="H49" i="86"/>
  <c r="G49" i="86"/>
  <c r="F49" i="86"/>
  <c r="E49" i="86"/>
  <c r="D49" i="86"/>
  <c r="O22" i="86"/>
  <c r="E14" i="86"/>
  <c r="D14" i="86"/>
  <c r="C14" i="86"/>
  <c r="O6" i="86"/>
  <c r="E6" i="86"/>
  <c r="K5" i="86" s="1"/>
  <c r="E5" i="86"/>
  <c r="H4" i="86"/>
  <c r="E4" i="86"/>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C33" i="84"/>
  <c r="B33" i="84"/>
  <c r="C32" i="84"/>
  <c r="B32" i="84"/>
  <c r="C31" i="84"/>
  <c r="B31" i="84"/>
  <c r="C30" i="84"/>
  <c r="C25" i="84"/>
  <c r="D16" i="83" s="1"/>
  <c r="B25" i="84"/>
  <c r="E16" i="84"/>
  <c r="C16" i="84"/>
  <c r="D14" i="84"/>
  <c r="C14" i="84"/>
  <c r="H13" i="84"/>
  <c r="H12" i="84"/>
  <c r="C12" i="84"/>
  <c r="M11" i="84"/>
  <c r="G132" i="90" s="1"/>
  <c r="K11" i="84"/>
  <c r="D132" i="90" s="1"/>
  <c r="H11" i="84"/>
  <c r="C132" i="90" s="1"/>
  <c r="E11" i="84"/>
  <c r="E58" i="90" s="1"/>
  <c r="C11" i="84"/>
  <c r="K10" i="84"/>
  <c r="C148" i="90" s="1"/>
  <c r="H10" i="84"/>
  <c r="C146" i="90" s="1"/>
  <c r="C10" i="84"/>
  <c r="H9" i="84"/>
  <c r="C8" i="90" s="1"/>
  <c r="E8" i="84"/>
  <c r="H2" i="95" s="1"/>
  <c r="C8" i="84"/>
  <c r="H7" i="84"/>
  <c r="E47" i="92" s="1"/>
  <c r="A210" i="85"/>
  <c r="Q67" i="85"/>
  <c r="O67" i="85"/>
  <c r="N67" i="85"/>
  <c r="L67" i="85"/>
  <c r="F19" i="85"/>
  <c r="F17" i="85"/>
  <c r="A24" i="83"/>
  <c r="A20" i="83"/>
  <c r="A13" i="83"/>
  <c r="A12" i="83"/>
  <c r="A11" i="83"/>
  <c r="Q435" i="72"/>
  <c r="Q434" i="72"/>
  <c r="P433" i="72"/>
  <c r="P1924" i="99" s="1"/>
  <c r="O433" i="72"/>
  <c r="O1924" i="99" s="1"/>
  <c r="L427" i="72"/>
  <c r="L423" i="72"/>
  <c r="P409" i="72"/>
  <c r="O409" i="72"/>
  <c r="O1900" i="99" s="1"/>
  <c r="Q1900" i="99" s="1"/>
  <c r="Q408" i="72"/>
  <c r="Q407" i="72"/>
  <c r="Q406" i="72"/>
  <c r="P396" i="72"/>
  <c r="P1887" i="99" s="1"/>
  <c r="O396" i="72"/>
  <c r="O1887" i="99" s="1"/>
  <c r="L396" i="72"/>
  <c r="Q388" i="72"/>
  <c r="Q381" i="72"/>
  <c r="L379" i="72"/>
  <c r="P377" i="72"/>
  <c r="P1868" i="99" s="1"/>
  <c r="AD1545" i="99" s="1"/>
  <c r="O377" i="72"/>
  <c r="L377" i="72"/>
  <c r="L368" i="72"/>
  <c r="M362" i="72"/>
  <c r="J362" i="72"/>
  <c r="Q348" i="72"/>
  <c r="L348" i="72"/>
  <c r="S343" i="72"/>
  <c r="R343" i="72"/>
  <c r="M366" i="72" s="1"/>
  <c r="L343" i="72"/>
  <c r="P341" i="72"/>
  <c r="O341" i="72"/>
  <c r="AB53" i="72" s="1"/>
  <c r="K319" i="72"/>
  <c r="P317" i="72"/>
  <c r="Q311" i="72"/>
  <c r="Q310" i="72"/>
  <c r="P309" i="72"/>
  <c r="O309" i="72"/>
  <c r="O1800" i="99" s="1"/>
  <c r="Q297" i="72"/>
  <c r="Q294" i="72"/>
  <c r="P284" i="72"/>
  <c r="P1775" i="99" s="1"/>
  <c r="O284" i="72"/>
  <c r="O1775" i="99" s="1"/>
  <c r="L284" i="72"/>
  <c r="Q276" i="72"/>
  <c r="Q275" i="72"/>
  <c r="J273" i="72"/>
  <c r="P273" i="72" s="1"/>
  <c r="P267" i="72"/>
  <c r="P1758" i="99" s="1"/>
  <c r="O267" i="72"/>
  <c r="Q265" i="72"/>
  <c r="P265" i="72"/>
  <c r="P1756" i="99" s="1"/>
  <c r="O265" i="72"/>
  <c r="O1756" i="99" s="1"/>
  <c r="P261" i="72"/>
  <c r="P1752" i="99" s="1"/>
  <c r="O261" i="72"/>
  <c r="O1752" i="99" s="1"/>
  <c r="P260" i="72"/>
  <c r="P1751" i="99" s="1"/>
  <c r="Q254" i="72"/>
  <c r="Q253" i="72"/>
  <c r="Q252" i="72"/>
  <c r="P251" i="72"/>
  <c r="P1742" i="99" s="1"/>
  <c r="AD1537" i="99" s="1"/>
  <c r="O251" i="72"/>
  <c r="O1742" i="99" s="1"/>
  <c r="L241" i="72"/>
  <c r="E241" i="72"/>
  <c r="M234" i="72"/>
  <c r="Q227" i="72"/>
  <c r="Q226" i="72"/>
  <c r="K225" i="72"/>
  <c r="R224" i="72"/>
  <c r="P224" i="72"/>
  <c r="P1715" i="99" s="1"/>
  <c r="AD1534" i="99" s="1"/>
  <c r="O224" i="72"/>
  <c r="O1715" i="99" s="1"/>
  <c r="K224" i="72"/>
  <c r="N213" i="72"/>
  <c r="Q210" i="72"/>
  <c r="Q206" i="72"/>
  <c r="P204" i="72"/>
  <c r="O204" i="72"/>
  <c r="O1695" i="99" s="1"/>
  <c r="Q183" i="72"/>
  <c r="L183" i="72"/>
  <c r="Q181" i="72"/>
  <c r="Q180" i="72"/>
  <c r="Q179" i="72"/>
  <c r="V176" i="72"/>
  <c r="Q176" i="72"/>
  <c r="V175" i="72"/>
  <c r="Q175" i="72"/>
  <c r="Q171" i="72"/>
  <c r="P170" i="72"/>
  <c r="P1661" i="99" s="1"/>
  <c r="O170" i="72"/>
  <c r="P152" i="72"/>
  <c r="Q151" i="72"/>
  <c r="H151" i="72"/>
  <c r="Q138" i="72"/>
  <c r="M134" i="72"/>
  <c r="L112" i="72"/>
  <c r="J112" i="72"/>
  <c r="P102" i="72"/>
  <c r="P1593" i="99" s="1"/>
  <c r="O102" i="72"/>
  <c r="L102" i="72"/>
  <c r="Q94" i="72"/>
  <c r="Q93" i="72"/>
  <c r="L93" i="72"/>
  <c r="I90" i="72"/>
  <c r="L88" i="72"/>
  <c r="O74" i="72"/>
  <c r="J74" i="72"/>
  <c r="P67" i="72" s="1"/>
  <c r="F74" i="72"/>
  <c r="P66" i="72" s="1"/>
  <c r="P71" i="72"/>
  <c r="L62" i="72"/>
  <c r="K62" i="72"/>
  <c r="J62" i="72"/>
  <c r="I62" i="72"/>
  <c r="H62" i="72"/>
  <c r="G62" i="72"/>
  <c r="AH60" i="72"/>
  <c r="AG60" i="72"/>
  <c r="Z60" i="72"/>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D55" i="72"/>
  <c r="AC55" i="72"/>
  <c r="AB55" i="72"/>
  <c r="X54" i="72"/>
  <c r="AI52" i="72"/>
  <c r="AH52" i="72"/>
  <c r="AG52" i="72"/>
  <c r="AD52" i="72"/>
  <c r="AC52" i="72"/>
  <c r="AB52" i="72"/>
  <c r="AA52" i="72"/>
  <c r="X52" i="72"/>
  <c r="AI51" i="72"/>
  <c r="AH51" i="72"/>
  <c r="AG51" i="72"/>
  <c r="AD51" i="72"/>
  <c r="AB50" i="72"/>
  <c r="AD49" i="72"/>
  <c r="AC49" i="72"/>
  <c r="AB49" i="72"/>
  <c r="Y49" i="72"/>
  <c r="X49" i="72"/>
  <c r="P49" i="72"/>
  <c r="AD46" i="72"/>
  <c r="P46" i="72"/>
  <c r="AD45" i="72"/>
  <c r="X45" i="72"/>
  <c r="P45" i="72"/>
  <c r="P44" i="72"/>
  <c r="X43" i="72"/>
  <c r="Y42" i="72"/>
  <c r="X42" i="72"/>
  <c r="AD41" i="72"/>
  <c r="AE39" i="72"/>
  <c r="AD39" i="72"/>
  <c r="Y39" i="72"/>
  <c r="X39" i="72"/>
  <c r="AE37" i="72"/>
  <c r="AD37" i="72"/>
  <c r="Y37" i="72"/>
  <c r="AC35" i="72"/>
  <c r="AB35" i="72"/>
  <c r="AA35" i="72"/>
  <c r="Z35" i="72"/>
  <c r="Y35" i="72"/>
  <c r="X35" i="72"/>
  <c r="M34" i="72"/>
  <c r="F31" i="72"/>
  <c r="F30" i="72"/>
  <c r="E30" i="72"/>
  <c r="F29" i="72"/>
  <c r="E29" i="72"/>
  <c r="F28" i="72"/>
  <c r="F27" i="72"/>
  <c r="F26" i="72"/>
  <c r="F25" i="72"/>
  <c r="E25" i="72"/>
  <c r="F24" i="72"/>
  <c r="F23" i="72"/>
  <c r="F22" i="72"/>
  <c r="F21" i="72"/>
  <c r="E21" i="72"/>
  <c r="F20" i="72"/>
  <c r="E20" i="72"/>
  <c r="F19" i="72"/>
  <c r="Q18" i="72"/>
  <c r="F18" i="72"/>
  <c r="E18" i="72"/>
  <c r="F17" i="72"/>
  <c r="F16" i="72"/>
  <c r="F15" i="72"/>
  <c r="E15" i="72"/>
  <c r="F14" i="72"/>
  <c r="F13" i="72"/>
  <c r="P12" i="72"/>
  <c r="P10" i="72" s="1"/>
  <c r="P1501" i="99" s="1"/>
  <c r="B6" i="72"/>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N412" i="73"/>
  <c r="N411" i="73"/>
  <c r="I411" i="73"/>
  <c r="AG409" i="73"/>
  <c r="AF409" i="73"/>
  <c r="AE409" i="73" s="1"/>
  <c r="AD409" i="73" s="1"/>
  <c r="AC409" i="73" s="1"/>
  <c r="AB409" i="73" s="1"/>
  <c r="AA409" i="73" s="1"/>
  <c r="Z409" i="73" s="1"/>
  <c r="N409" i="73"/>
  <c r="N408" i="73"/>
  <c r="I408" i="73"/>
  <c r="AG407" i="73"/>
  <c r="AF407" i="73" s="1"/>
  <c r="AE407" i="73" s="1"/>
  <c r="AD407" i="73" s="1"/>
  <c r="AC407" i="73" s="1"/>
  <c r="AB407" i="73" s="1"/>
  <c r="AA407" i="73" s="1"/>
  <c r="Z407" i="73" s="1"/>
  <c r="N406" i="73"/>
  <c r="N405" i="73"/>
  <c r="I405" i="73"/>
  <c r="M374" i="73"/>
  <c r="N371" i="73"/>
  <c r="N354" i="73"/>
  <c r="Q339" i="73"/>
  <c r="AG295" i="73"/>
  <c r="AF295" i="73" s="1"/>
  <c r="AE295" i="73" s="1"/>
  <c r="AD295" i="73" s="1"/>
  <c r="AC295" i="73" s="1"/>
  <c r="AB295" i="73" s="1"/>
  <c r="AA295" i="73" s="1"/>
  <c r="Z295" i="73" s="1"/>
  <c r="N293" i="73"/>
  <c r="AG292" i="73"/>
  <c r="AF292" i="73" s="1"/>
  <c r="AE292" i="73" s="1"/>
  <c r="AD292" i="73" s="1"/>
  <c r="AC292" i="73" s="1"/>
  <c r="AB292" i="73" s="1"/>
  <c r="AA292" i="73" s="1"/>
  <c r="Z292" i="73" s="1"/>
  <c r="N291" i="73"/>
  <c r="M291" i="73"/>
  <c r="L291" i="73" s="1"/>
  <c r="AG290" i="73"/>
  <c r="AF290" i="73" s="1"/>
  <c r="AE290" i="73" s="1"/>
  <c r="AD290" i="73" s="1"/>
  <c r="AC290" i="73" s="1"/>
  <c r="AB290" i="73" s="1"/>
  <c r="AA290" i="73" s="1"/>
  <c r="Z290" i="73" s="1"/>
  <c r="N290" i="73"/>
  <c r="L217" i="73"/>
  <c r="N210" i="73"/>
  <c r="K133" i="73"/>
  <c r="J133" i="73"/>
  <c r="I133" i="73"/>
  <c r="H133" i="73"/>
  <c r="F133" i="73"/>
  <c r="M56" i="73"/>
  <c r="K56" i="73"/>
  <c r="M5" i="73"/>
  <c r="E5" i="73"/>
  <c r="A3" i="73"/>
  <c r="H3" i="73" s="1"/>
  <c r="F136" i="74"/>
  <c r="F1031" i="99" s="1"/>
  <c r="E136" i="74"/>
  <c r="E1031" i="99" s="1"/>
  <c r="D136" i="74"/>
  <c r="D1031" i="99" s="1"/>
  <c r="C136" i="74"/>
  <c r="C1031" i="99" s="1"/>
  <c r="B136" i="74"/>
  <c r="B1031" i="99" s="1"/>
  <c r="F135" i="74"/>
  <c r="F1030" i="99" s="1"/>
  <c r="E135" i="74"/>
  <c r="E1030" i="99" s="1"/>
  <c r="D135" i="74"/>
  <c r="D1030" i="99" s="1"/>
  <c r="C135" i="74"/>
  <c r="C1030" i="99" s="1"/>
  <c r="B135" i="74"/>
  <c r="B1030" i="99" s="1"/>
  <c r="F134" i="74"/>
  <c r="F1029" i="99" s="1"/>
  <c r="E134" i="74"/>
  <c r="E1029" i="99" s="1"/>
  <c r="D134" i="74"/>
  <c r="D1029" i="99" s="1"/>
  <c r="C134" i="74"/>
  <c r="C1029" i="99" s="1"/>
  <c r="B134" i="74"/>
  <c r="B1029" i="99" s="1"/>
  <c r="K106" i="74"/>
  <c r="K1001" i="99" s="1"/>
  <c r="J106" i="74"/>
  <c r="J1001" i="99" s="1"/>
  <c r="I106" i="74"/>
  <c r="I1001" i="99" s="1"/>
  <c r="H106" i="74"/>
  <c r="H1001" i="99" s="1"/>
  <c r="G106" i="74"/>
  <c r="G1001" i="99" s="1"/>
  <c r="F106" i="74"/>
  <c r="F1001" i="99" s="1"/>
  <c r="E106" i="74"/>
  <c r="E1001" i="99" s="1"/>
  <c r="D106" i="74"/>
  <c r="D1001" i="99" s="1"/>
  <c r="C106" i="74"/>
  <c r="C1001" i="99" s="1"/>
  <c r="B106" i="74"/>
  <c r="B1001" i="99" s="1"/>
  <c r="K105" i="74"/>
  <c r="K1000" i="99" s="1"/>
  <c r="J105" i="74"/>
  <c r="J1000" i="99" s="1"/>
  <c r="I105" i="74"/>
  <c r="I1000" i="99" s="1"/>
  <c r="H105" i="74"/>
  <c r="H1000" i="99" s="1"/>
  <c r="G105" i="74"/>
  <c r="G1000" i="99" s="1"/>
  <c r="F105" i="74"/>
  <c r="F1000" i="99" s="1"/>
  <c r="E105" i="74"/>
  <c r="E1000" i="99" s="1"/>
  <c r="D105" i="74"/>
  <c r="D1000" i="99" s="1"/>
  <c r="C105" i="74"/>
  <c r="C1000" i="99" s="1"/>
  <c r="B105" i="74"/>
  <c r="B1000" i="99" s="1"/>
  <c r="K104" i="74"/>
  <c r="K999" i="99" s="1"/>
  <c r="J104" i="74"/>
  <c r="J999" i="99" s="1"/>
  <c r="I104" i="74"/>
  <c r="I999" i="99" s="1"/>
  <c r="H104" i="74"/>
  <c r="H999" i="99" s="1"/>
  <c r="G104" i="74"/>
  <c r="G999" i="99" s="1"/>
  <c r="F104" i="74"/>
  <c r="F999" i="99" s="1"/>
  <c r="E104" i="74"/>
  <c r="E999" i="99" s="1"/>
  <c r="D104" i="74"/>
  <c r="D999" i="99" s="1"/>
  <c r="C104" i="74"/>
  <c r="C999" i="99" s="1"/>
  <c r="B104" i="74"/>
  <c r="B999" i="99" s="1"/>
  <c r="K76" i="74"/>
  <c r="K971" i="99" s="1"/>
  <c r="J76" i="74"/>
  <c r="J971" i="99" s="1"/>
  <c r="I76" i="74"/>
  <c r="I971" i="99" s="1"/>
  <c r="H76" i="74"/>
  <c r="H971" i="99" s="1"/>
  <c r="K75" i="74"/>
  <c r="K970" i="99" s="1"/>
  <c r="J75" i="74"/>
  <c r="J970" i="99" s="1"/>
  <c r="I75" i="74"/>
  <c r="I970" i="99" s="1"/>
  <c r="H75" i="74"/>
  <c r="H970" i="99" s="1"/>
  <c r="G75" i="74"/>
  <c r="G970" i="99" s="1"/>
  <c r="F75" i="74"/>
  <c r="F970" i="99" s="1"/>
  <c r="E75" i="74"/>
  <c r="E970" i="99" s="1"/>
  <c r="D75" i="74"/>
  <c r="D970" i="99" s="1"/>
  <c r="C75" i="74"/>
  <c r="C970" i="99" s="1"/>
  <c r="B75" i="74"/>
  <c r="B970" i="99" s="1"/>
  <c r="K74" i="74"/>
  <c r="K969" i="99" s="1"/>
  <c r="J74" i="74"/>
  <c r="J969" i="99" s="1"/>
  <c r="I74" i="74"/>
  <c r="I969" i="99" s="1"/>
  <c r="H74" i="74"/>
  <c r="H969" i="99" s="1"/>
  <c r="G74" i="74"/>
  <c r="G969" i="99" s="1"/>
  <c r="F74" i="74"/>
  <c r="E74" i="74"/>
  <c r="E969" i="99" s="1"/>
  <c r="D74" i="74"/>
  <c r="C74" i="74"/>
  <c r="C969" i="99" s="1"/>
  <c r="B74" i="74"/>
  <c r="B969" i="99" s="1"/>
  <c r="K73" i="74"/>
  <c r="K968" i="99" s="1"/>
  <c r="J73" i="74"/>
  <c r="J968" i="99" s="1"/>
  <c r="I73" i="74"/>
  <c r="I968" i="99" s="1"/>
  <c r="H73" i="74"/>
  <c r="G73" i="74"/>
  <c r="G968" i="99" s="1"/>
  <c r="F73" i="74"/>
  <c r="E73" i="74"/>
  <c r="E968" i="99" s="1"/>
  <c r="D73" i="74"/>
  <c r="D968" i="99" s="1"/>
  <c r="C73" i="74"/>
  <c r="C968" i="99" s="1"/>
  <c r="B73" i="74"/>
  <c r="B968" i="99" s="1"/>
  <c r="A69" i="74"/>
  <c r="A100" i="74" s="1"/>
  <c r="A130" i="74" s="1"/>
  <c r="A61" i="74"/>
  <c r="A93" i="74" s="1"/>
  <c r="A123" i="74" s="1"/>
  <c r="A60" i="74"/>
  <c r="A92" i="74" s="1"/>
  <c r="A122" i="74" s="1"/>
  <c r="A59" i="74"/>
  <c r="A91" i="74" s="1"/>
  <c r="A121" i="74" s="1"/>
  <c r="A58" i="74"/>
  <c r="A90" i="74" s="1"/>
  <c r="A120" i="74" s="1"/>
  <c r="B51" i="74"/>
  <c r="B946" i="99" s="1"/>
  <c r="G50" i="74"/>
  <c r="G945" i="99" s="1"/>
  <c r="E50" i="74"/>
  <c r="E945" i="99" s="1"/>
  <c r="D50" i="74"/>
  <c r="D945" i="99" s="1"/>
  <c r="B44" i="74"/>
  <c r="B939" i="99" s="1"/>
  <c r="K43" i="74"/>
  <c r="K938" i="99" s="1"/>
  <c r="J43" i="74"/>
  <c r="J938" i="99" s="1"/>
  <c r="I43" i="74"/>
  <c r="I938" i="99" s="1"/>
  <c r="H43" i="74"/>
  <c r="H938" i="99" s="1"/>
  <c r="G43" i="74"/>
  <c r="G938" i="99" s="1"/>
  <c r="F43" i="74"/>
  <c r="F938" i="99" s="1"/>
  <c r="E43" i="74"/>
  <c r="E938" i="99" s="1"/>
  <c r="D43" i="74"/>
  <c r="D938" i="99" s="1"/>
  <c r="C43" i="74"/>
  <c r="C938" i="99" s="1"/>
  <c r="B43" i="74"/>
  <c r="B938" i="99" s="1"/>
  <c r="K42" i="74"/>
  <c r="J42" i="74"/>
  <c r="I42" i="74"/>
  <c r="I937" i="99" s="1"/>
  <c r="H42" i="74"/>
  <c r="H937" i="99" s="1"/>
  <c r="G42" i="74"/>
  <c r="G937" i="99" s="1"/>
  <c r="F42" i="74"/>
  <c r="F937" i="99" s="1"/>
  <c r="E42" i="74"/>
  <c r="E937" i="99" s="1"/>
  <c r="D42" i="74"/>
  <c r="D937" i="99" s="1"/>
  <c r="C42" i="74"/>
  <c r="B42" i="74"/>
  <c r="K41" i="74"/>
  <c r="J41" i="74"/>
  <c r="J936" i="99" s="1"/>
  <c r="I41" i="74"/>
  <c r="I936" i="99" s="1"/>
  <c r="H41" i="74"/>
  <c r="H936" i="99" s="1"/>
  <c r="G41" i="74"/>
  <c r="G936" i="99" s="1"/>
  <c r="F41" i="74"/>
  <c r="F936" i="99" s="1"/>
  <c r="E41" i="74"/>
  <c r="D41" i="74"/>
  <c r="C41" i="74"/>
  <c r="C936" i="99" s="1"/>
  <c r="B41" i="74"/>
  <c r="B936" i="99" s="1"/>
  <c r="A36" i="74"/>
  <c r="A68" i="74" s="1"/>
  <c r="A99" i="74" s="1"/>
  <c r="A129" i="74" s="1"/>
  <c r="A35" i="74"/>
  <c r="A67" i="74" s="1"/>
  <c r="A98" i="74" s="1"/>
  <c r="A128" i="74" s="1"/>
  <c r="A34" i="74"/>
  <c r="A66" i="74" s="1"/>
  <c r="A97" i="74" s="1"/>
  <c r="A127" i="74" s="1"/>
  <c r="C31" i="74"/>
  <c r="C53" i="82" s="1"/>
  <c r="B31" i="74"/>
  <c r="B24" i="74"/>
  <c r="B919" i="99" s="1"/>
  <c r="R23" i="74"/>
  <c r="R22" i="74"/>
  <c r="B22" i="74"/>
  <c r="B917" i="99" s="1"/>
  <c r="R21" i="74"/>
  <c r="H18" i="74"/>
  <c r="H913" i="99" s="1"/>
  <c r="C18" i="74"/>
  <c r="C913" i="99" s="1"/>
  <c r="C14" i="74"/>
  <c r="C24" i="74" s="1"/>
  <c r="C919" i="99" s="1"/>
  <c r="N12" i="74"/>
  <c r="C9" i="74"/>
  <c r="G7" i="74"/>
  <c r="N4" i="74"/>
  <c r="C4" i="74"/>
  <c r="Q251" i="75"/>
  <c r="Q889" i="99" s="1"/>
  <c r="L247" i="75"/>
  <c r="C61" i="84" s="1"/>
  <c r="F247" i="75"/>
  <c r="C59" i="84" s="1"/>
  <c r="L241" i="75"/>
  <c r="C60" i="84" s="1"/>
  <c r="F236" i="75"/>
  <c r="L231" i="75"/>
  <c r="F227" i="75"/>
  <c r="L223" i="75"/>
  <c r="Q220" i="75"/>
  <c r="Q858" i="99" s="1"/>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S195" i="75"/>
  <c r="Q194" i="75"/>
  <c r="K50" i="74" s="1"/>
  <c r="K945" i="99" s="1"/>
  <c r="P194" i="75"/>
  <c r="J50" i="74" s="1"/>
  <c r="J945" i="99" s="1"/>
  <c r="O194" i="75"/>
  <c r="I50" i="74" s="1"/>
  <c r="I945" i="99" s="1"/>
  <c r="N194" i="75"/>
  <c r="H50" i="74" s="1"/>
  <c r="H945" i="99" s="1"/>
  <c r="M194" i="75"/>
  <c r="L194" i="75"/>
  <c r="F50" i="74" s="1"/>
  <c r="F945" i="99" s="1"/>
  <c r="K194" i="75"/>
  <c r="J194" i="75"/>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M185" i="75"/>
  <c r="G18" i="74" s="1"/>
  <c r="G913" i="99" s="1"/>
  <c r="L185" i="75"/>
  <c r="F18" i="74" s="1"/>
  <c r="F913" i="99" s="1"/>
  <c r="K185" i="75"/>
  <c r="E18" i="74" s="1"/>
  <c r="E913" i="99" s="1"/>
  <c r="J185" i="75"/>
  <c r="D18" i="74" s="1"/>
  <c r="D913" i="99" s="1"/>
  <c r="I185" i="75"/>
  <c r="H185" i="75"/>
  <c r="B18" i="74" s="1"/>
  <c r="S182" i="75"/>
  <c r="S181" i="75"/>
  <c r="S179" i="75"/>
  <c r="S156" i="75"/>
  <c r="S146" i="75"/>
  <c r="S145" i="75"/>
  <c r="L145" i="75"/>
  <c r="S126" i="75"/>
  <c r="P123" i="75"/>
  <c r="P122" i="75"/>
  <c r="S112" i="75"/>
  <c r="S103" i="75"/>
  <c r="S102" i="75"/>
  <c r="L102" i="75"/>
  <c r="S92" i="75"/>
  <c r="S69" i="75"/>
  <c r="S53" i="75"/>
  <c r="F50" i="75"/>
  <c r="E50" i="75"/>
  <c r="B50" i="75"/>
  <c r="J93" i="72" s="1"/>
  <c r="MU49" i="75"/>
  <c r="F49" i="75"/>
  <c r="E49" i="75"/>
  <c r="MT48" i="75"/>
  <c r="MS48" i="75"/>
  <c r="MR48" i="75"/>
  <c r="MQ48" i="75"/>
  <c r="MP48" i="75"/>
  <c r="MO48" i="75"/>
  <c r="MN48" i="75"/>
  <c r="MM48" i="75"/>
  <c r="ML48" i="75"/>
  <c r="MK48" i="75"/>
  <c r="MJ48" i="75"/>
  <c r="MI48" i="75"/>
  <c r="MH48" i="75"/>
  <c r="MG48" i="75"/>
  <c r="MF48" i="75"/>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LF48" i="75"/>
  <c r="LE48" i="75"/>
  <c r="LD48" i="75"/>
  <c r="LC48" i="75"/>
  <c r="LB48" i="75"/>
  <c r="LA48" i="75"/>
  <c r="KZ48" i="75"/>
  <c r="KY48" i="75"/>
  <c r="KX48" i="75"/>
  <c r="KW48" i="75"/>
  <c r="KV48" i="75"/>
  <c r="KU48" i="75"/>
  <c r="KT48" i="75"/>
  <c r="KS48" i="75"/>
  <c r="KR48" i="75"/>
  <c r="KQ48" i="75"/>
  <c r="KP48" i="75"/>
  <c r="KO48" i="75"/>
  <c r="KN48" i="75"/>
  <c r="KM48" i="75"/>
  <c r="KL48" i="75"/>
  <c r="KK48" i="75"/>
  <c r="KJ48" i="75"/>
  <c r="KI48" i="75"/>
  <c r="KH48" i="75"/>
  <c r="KG48" i="75"/>
  <c r="KF48" i="75"/>
  <c r="KE48" i="75"/>
  <c r="KD48" i="75"/>
  <c r="KC48" i="75"/>
  <c r="KB48" i="75"/>
  <c r="KA48" i="75"/>
  <c r="JZ48" i="75"/>
  <c r="JY48" i="75"/>
  <c r="JX48" i="75"/>
  <c r="JW48" i="75"/>
  <c r="JV48" i="75"/>
  <c r="JU48" i="75"/>
  <c r="JT48" i="75"/>
  <c r="JS48" i="75"/>
  <c r="JR48" i="75"/>
  <c r="JQ48" i="75"/>
  <c r="JP48" i="75"/>
  <c r="JO48" i="75"/>
  <c r="JN48" i="75"/>
  <c r="JM48" i="75"/>
  <c r="JL48" i="75"/>
  <c r="JK48" i="75"/>
  <c r="JJ48" i="75"/>
  <c r="JI48" i="75"/>
  <c r="JH48" i="75"/>
  <c r="JG48" i="75"/>
  <c r="JF48" i="75"/>
  <c r="JE48" i="75"/>
  <c r="JD48" i="75"/>
  <c r="JC48" i="75"/>
  <c r="JB48" i="75"/>
  <c r="JA48" i="75"/>
  <c r="IZ48" i="75"/>
  <c r="IY48" i="75"/>
  <c r="IX48" i="75"/>
  <c r="IW48" i="75"/>
  <c r="IV48" i="75"/>
  <c r="IU48" i="75"/>
  <c r="IT48" i="75"/>
  <c r="IS48" i="75"/>
  <c r="IR48" i="75"/>
  <c r="IQ48" i="75"/>
  <c r="IP48" i="75"/>
  <c r="IO48" i="75"/>
  <c r="IN48" i="75"/>
  <c r="IM48" i="75"/>
  <c r="IL48" i="75"/>
  <c r="IK48" i="75"/>
  <c r="IJ48" i="75"/>
  <c r="II48" i="75"/>
  <c r="IH48" i="75"/>
  <c r="IG48" i="75"/>
  <c r="IF48" i="75"/>
  <c r="IE48" i="75"/>
  <c r="ID48" i="75"/>
  <c r="IC48" i="75"/>
  <c r="IB48" i="75"/>
  <c r="IA48" i="75"/>
  <c r="HZ48" i="75"/>
  <c r="HY48" i="75"/>
  <c r="HX48" i="75"/>
  <c r="HW48" i="75"/>
  <c r="HV48" i="75"/>
  <c r="HU48" i="75"/>
  <c r="HT48" i="75"/>
  <c r="HS48" i="75"/>
  <c r="HR48" i="75"/>
  <c r="HQ48" i="75"/>
  <c r="HP48" i="75"/>
  <c r="HO48" i="75"/>
  <c r="HN48" i="75"/>
  <c r="HM48" i="75"/>
  <c r="HL48" i="75"/>
  <c r="HK48" i="75"/>
  <c r="HJ48" i="75"/>
  <c r="HI48" i="75"/>
  <c r="HH48" i="75"/>
  <c r="HG48" i="75"/>
  <c r="HF48" i="75"/>
  <c r="HE48" i="75"/>
  <c r="HD48" i="75"/>
  <c r="HC48" i="75"/>
  <c r="HB48" i="75"/>
  <c r="HA48" i="75"/>
  <c r="GZ48" i="75"/>
  <c r="GY48" i="75"/>
  <c r="GX48" i="75"/>
  <c r="GW48" i="75"/>
  <c r="GV48" i="75"/>
  <c r="GU48" i="75"/>
  <c r="GT48" i="75"/>
  <c r="GS48" i="75"/>
  <c r="GR48" i="75"/>
  <c r="GQ48" i="75"/>
  <c r="GP48" i="75"/>
  <c r="GO48" i="75"/>
  <c r="GN48" i="75"/>
  <c r="GM48" i="75"/>
  <c r="GL48" i="75"/>
  <c r="GK48" i="75"/>
  <c r="GJ48" i="75"/>
  <c r="GI48" i="75"/>
  <c r="GH48" i="75"/>
  <c r="GG48" i="75"/>
  <c r="GF48" i="75"/>
  <c r="GE48" i="75"/>
  <c r="GD48" i="75"/>
  <c r="GC48" i="75"/>
  <c r="GB48" i="75"/>
  <c r="GA48" i="75"/>
  <c r="FZ48" i="75"/>
  <c r="FY48" i="75"/>
  <c r="FX48" i="75"/>
  <c r="FW48" i="75"/>
  <c r="FV48" i="75"/>
  <c r="FU48" i="75"/>
  <c r="FT48" i="75"/>
  <c r="FS48" i="75"/>
  <c r="FR48" i="75"/>
  <c r="FQ48" i="75"/>
  <c r="FP48" i="75"/>
  <c r="FO48" i="75"/>
  <c r="FN48" i="75"/>
  <c r="FM48" i="75"/>
  <c r="FL48" i="75"/>
  <c r="FK48" i="75"/>
  <c r="FJ48" i="75"/>
  <c r="FI48" i="75"/>
  <c r="FH48" i="75"/>
  <c r="FG48" i="75"/>
  <c r="FF48" i="75"/>
  <c r="FE48" i="75"/>
  <c r="FD48" i="75"/>
  <c r="FC48" i="75"/>
  <c r="FB48" i="75"/>
  <c r="FA48" i="75"/>
  <c r="EZ48" i="75"/>
  <c r="EY48" i="75"/>
  <c r="EX48" i="75"/>
  <c r="EW48" i="75"/>
  <c r="EV48" i="75"/>
  <c r="EU48" i="75"/>
  <c r="ET48" i="75"/>
  <c r="ES48" i="75"/>
  <c r="ER48" i="75"/>
  <c r="EQ48" i="75"/>
  <c r="EP48" i="75"/>
  <c r="EO48" i="75"/>
  <c r="EN48" i="75"/>
  <c r="EM48" i="75"/>
  <c r="EL48" i="75"/>
  <c r="EK48" i="75"/>
  <c r="EJ48" i="75"/>
  <c r="EI48" i="75"/>
  <c r="EH48" i="75"/>
  <c r="EG48" i="75"/>
  <c r="EF48" i="75"/>
  <c r="EE48" i="75"/>
  <c r="ED48" i="75"/>
  <c r="EC48" i="75"/>
  <c r="EB48" i="75"/>
  <c r="EA48" i="75"/>
  <c r="DZ48" i="75"/>
  <c r="DY48" i="75"/>
  <c r="DX48" i="75"/>
  <c r="DW48" i="75"/>
  <c r="DV48" i="75"/>
  <c r="DU48" i="75"/>
  <c r="DT48" i="75"/>
  <c r="DS48" i="75"/>
  <c r="DR48" i="75"/>
  <c r="DQ48" i="75"/>
  <c r="DP48" i="75"/>
  <c r="DO48" i="75"/>
  <c r="DN48" i="75"/>
  <c r="DM48" i="75"/>
  <c r="DL48" i="75"/>
  <c r="DK48" i="75"/>
  <c r="DJ48" i="75"/>
  <c r="DI48" i="75"/>
  <c r="DH48" i="75"/>
  <c r="DG48" i="75"/>
  <c r="DF48" i="75"/>
  <c r="DE48" i="75"/>
  <c r="DD48" i="75"/>
  <c r="DC48" i="75"/>
  <c r="DB48" i="75"/>
  <c r="DA48" i="75"/>
  <c r="CZ48" i="75"/>
  <c r="CY48" i="75"/>
  <c r="CX48" i="75"/>
  <c r="CW48" i="75"/>
  <c r="CV48" i="75"/>
  <c r="CU48" i="75"/>
  <c r="CT48" i="75"/>
  <c r="CS48" i="75"/>
  <c r="CR48" i="75"/>
  <c r="CQ48" i="75"/>
  <c r="CP48" i="75"/>
  <c r="CO48" i="75"/>
  <c r="CN48" i="75"/>
  <c r="CM48" i="75"/>
  <c r="CL48" i="75"/>
  <c r="CK48" i="75"/>
  <c r="CJ48" i="75"/>
  <c r="CI48" i="75"/>
  <c r="CH48" i="75"/>
  <c r="CG48" i="75"/>
  <c r="CF48" i="75"/>
  <c r="CE48" i="75"/>
  <c r="CD48" i="75"/>
  <c r="CC48" i="75"/>
  <c r="CB48" i="75"/>
  <c r="CA48" i="75"/>
  <c r="BZ48" i="75"/>
  <c r="BY48" i="75"/>
  <c r="BX48" i="75"/>
  <c r="BW48" i="75"/>
  <c r="BV48" i="75"/>
  <c r="BU48" i="75"/>
  <c r="BT48" i="75"/>
  <c r="BS48" i="75"/>
  <c r="BR48" i="75"/>
  <c r="BQ48" i="75"/>
  <c r="BP48" i="75"/>
  <c r="BO48" i="75"/>
  <c r="BN48" i="75"/>
  <c r="BM48" i="75"/>
  <c r="BL48" i="75"/>
  <c r="BK48" i="75"/>
  <c r="BJ48" i="75"/>
  <c r="BI48" i="75"/>
  <c r="BH48" i="75"/>
  <c r="BG48" i="75"/>
  <c r="BF48" i="75"/>
  <c r="BE48" i="75"/>
  <c r="BD48" i="75"/>
  <c r="BC48" i="75"/>
  <c r="BB48" i="75"/>
  <c r="BA48" i="75"/>
  <c r="AZ48" i="75"/>
  <c r="AY48" i="75"/>
  <c r="AX48" i="75"/>
  <c r="AW48" i="75"/>
  <c r="AV48" i="75"/>
  <c r="AU48" i="75"/>
  <c r="AT48" i="75"/>
  <c r="AS48" i="75"/>
  <c r="AR48" i="75"/>
  <c r="AQ48" i="75"/>
  <c r="AP48" i="75"/>
  <c r="AO48" i="75"/>
  <c r="AN48" i="75"/>
  <c r="AM48" i="75"/>
  <c r="AL48" i="75"/>
  <c r="AK48" i="75"/>
  <c r="AJ48" i="75"/>
  <c r="AI48" i="75"/>
  <c r="AH48" i="75"/>
  <c r="AG48" i="75"/>
  <c r="AF48" i="75"/>
  <c r="AE48" i="75"/>
  <c r="AD48" i="75"/>
  <c r="AC48" i="75"/>
  <c r="AB48" i="75"/>
  <c r="AA48" i="75"/>
  <c r="Z48" i="75"/>
  <c r="Y48" i="75"/>
  <c r="X48" i="75"/>
  <c r="L48" i="75"/>
  <c r="M48" i="75" s="1"/>
  <c r="J48" i="75"/>
  <c r="J686" i="99" s="1"/>
  <c r="L686" i="99" s="1"/>
  <c r="A48" i="75"/>
  <c r="MT47"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J47" i="75"/>
  <c r="J685" i="99" s="1"/>
  <c r="L685" i="99" s="1"/>
  <c r="A47" i="75"/>
  <c r="MT46"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J46" i="75"/>
  <c r="J684" i="99" s="1"/>
  <c r="A46" i="75"/>
  <c r="MT45"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J45" i="75"/>
  <c r="J683" i="99" s="1"/>
  <c r="A45" i="75"/>
  <c r="MT44"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J44" i="75"/>
  <c r="J682" i="99" s="1"/>
  <c r="A44" i="75"/>
  <c r="MT43"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J43" i="75"/>
  <c r="J681" i="99" s="1"/>
  <c r="A43" i="75"/>
  <c r="MT42"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L42" i="75"/>
  <c r="M42" i="75" s="1"/>
  <c r="J42" i="75"/>
  <c r="J680" i="99" s="1"/>
  <c r="A42" i="75"/>
  <c r="MT41"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J41" i="75"/>
  <c r="A41" i="75"/>
  <c r="MT40"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L40" i="75"/>
  <c r="M40" i="75" s="1"/>
  <c r="J40" i="75"/>
  <c r="J678" i="99" s="1"/>
  <c r="A40" i="75"/>
  <c r="MT39"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J39" i="75"/>
  <c r="J677" i="99" s="1"/>
  <c r="A39" i="75"/>
  <c r="MT38"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L38" i="75"/>
  <c r="M38" i="75" s="1"/>
  <c r="J38" i="75"/>
  <c r="J676" i="99" s="1"/>
  <c r="A38" i="75"/>
  <c r="MT37"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J37" i="75"/>
  <c r="J675" i="99" s="1"/>
  <c r="A37" i="75"/>
  <c r="MT36"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J36" i="75"/>
  <c r="J674" i="99" s="1"/>
  <c r="L674" i="99" s="1"/>
  <c r="M674" i="99" s="1"/>
  <c r="A36" i="75"/>
  <c r="MT35"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J35" i="75"/>
  <c r="J673" i="99" s="1"/>
  <c r="A35" i="75"/>
  <c r="MT34"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L34" i="75"/>
  <c r="M34" i="75" s="1"/>
  <c r="J34" i="75"/>
  <c r="J672" i="99" s="1"/>
  <c r="A34" i="75"/>
  <c r="MT33"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L33" i="75"/>
  <c r="M33" i="75" s="1"/>
  <c r="J33" i="75"/>
  <c r="J671" i="99" s="1"/>
  <c r="A33" i="75"/>
  <c r="MT32"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J32" i="75"/>
  <c r="J670" i="99" s="1"/>
  <c r="A32" i="75"/>
  <c r="MT31"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J31" i="75"/>
  <c r="J669" i="99" s="1"/>
  <c r="L669" i="99" s="1"/>
  <c r="A31" i="75"/>
  <c r="MT30"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J30" i="75"/>
  <c r="J668" i="99" s="1"/>
  <c r="L668" i="99" s="1"/>
  <c r="A30" i="75"/>
  <c r="MT29"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J29" i="75"/>
  <c r="J667" i="99" s="1"/>
  <c r="L667" i="99" s="1"/>
  <c r="A29" i="75"/>
  <c r="MT28"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J28" i="75"/>
  <c r="J666" i="99" s="1"/>
  <c r="L666" i="99" s="1"/>
  <c r="A28" i="75"/>
  <c r="MT27"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J27" i="75"/>
  <c r="J665" i="99" s="1"/>
  <c r="A27" i="75"/>
  <c r="MT26"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J26" i="75"/>
  <c r="J664" i="99" s="1"/>
  <c r="A26" i="75"/>
  <c r="MT25"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L25" i="75"/>
  <c r="M25" i="75" s="1"/>
  <c r="J25" i="75"/>
  <c r="J663" i="99" s="1"/>
  <c r="A25" i="75"/>
  <c r="MT24"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L24" i="75"/>
  <c r="M24" i="75" s="1"/>
  <c r="J24" i="75"/>
  <c r="J662" i="99" s="1"/>
  <c r="L662" i="99" s="1"/>
  <c r="A24" i="75"/>
  <c r="MT23"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A23" i="75"/>
  <c r="MT22"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A22" i="75"/>
  <c r="MT21"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A21" i="75"/>
  <c r="MT20"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A20" i="75"/>
  <c r="MT19"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A19" i="75"/>
  <c r="MT18"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A18" i="75"/>
  <c r="MT17"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L17" i="75"/>
  <c r="M17" i="75" s="1"/>
  <c r="A17" i="75"/>
  <c r="MT16"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L16" i="75"/>
  <c r="M16" i="75" s="1"/>
  <c r="A16" i="75"/>
  <c r="MT15"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L15" i="75"/>
  <c r="M15" i="75" s="1"/>
  <c r="A15" i="75"/>
  <c r="MT14"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M14" i="75"/>
  <c r="L14" i="75"/>
  <c r="A14" i="75"/>
  <c r="MT13"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L13" i="75"/>
  <c r="M13" i="75" s="1"/>
  <c r="A13" i="75"/>
  <c r="MT12"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L12" i="75"/>
  <c r="M12" i="75" s="1"/>
  <c r="A12" i="75"/>
  <c r="MT11"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S49" i="75" s="1"/>
  <c r="N93" i="75" s="1"/>
  <c r="CR11" i="75"/>
  <c r="CQ11" i="75"/>
  <c r="CP11" i="75"/>
  <c r="CO11" i="75"/>
  <c r="CN11" i="75"/>
  <c r="CM11" i="75"/>
  <c r="CL11" i="75"/>
  <c r="CK11" i="75"/>
  <c r="CK49" i="75" s="1"/>
  <c r="K94" i="75" s="1"/>
  <c r="CJ11" i="75"/>
  <c r="CI11" i="75"/>
  <c r="CH11" i="75"/>
  <c r="CG11" i="75"/>
  <c r="CF11" i="75"/>
  <c r="CE11" i="75"/>
  <c r="CD11" i="75"/>
  <c r="CC11" i="75"/>
  <c r="CC49" i="75" s="1"/>
  <c r="M96" i="75" s="1"/>
  <c r="CB11" i="75"/>
  <c r="CA11" i="75"/>
  <c r="BZ11" i="75"/>
  <c r="BY11" i="75"/>
  <c r="BX11" i="75"/>
  <c r="BW11" i="75"/>
  <c r="BV11" i="75"/>
  <c r="BU11" i="75"/>
  <c r="BU49" i="75" s="1"/>
  <c r="O98" i="75" s="1"/>
  <c r="BT11" i="75"/>
  <c r="BS11" i="75"/>
  <c r="BR11" i="75"/>
  <c r="BQ11" i="75"/>
  <c r="BP11" i="75"/>
  <c r="BO11" i="75"/>
  <c r="BN11" i="75"/>
  <c r="BM11" i="75"/>
  <c r="BM49" i="75" s="1"/>
  <c r="L99" i="75" s="1"/>
  <c r="BL11" i="75"/>
  <c r="BK11" i="75"/>
  <c r="BJ11" i="75"/>
  <c r="BI11" i="75"/>
  <c r="BH11" i="75"/>
  <c r="BG11" i="75"/>
  <c r="BF11" i="75"/>
  <c r="BE11" i="75"/>
  <c r="BE49" i="75" s="1"/>
  <c r="N62" i="75" s="1"/>
  <c r="BD11" i="75"/>
  <c r="BC11" i="75"/>
  <c r="BB11" i="75"/>
  <c r="BA11" i="75"/>
  <c r="AZ11" i="75"/>
  <c r="AY11" i="75"/>
  <c r="AX11" i="75"/>
  <c r="AW11" i="75"/>
  <c r="AW49" i="75" s="1"/>
  <c r="K61" i="75" s="1"/>
  <c r="AV11" i="75"/>
  <c r="AU11" i="75"/>
  <c r="AT11" i="75"/>
  <c r="AS11" i="75"/>
  <c r="AR11" i="75"/>
  <c r="AQ11" i="75"/>
  <c r="AP11" i="75"/>
  <c r="AO11" i="75"/>
  <c r="AO49" i="75" s="1"/>
  <c r="M59" i="75" s="1"/>
  <c r="AN11" i="75"/>
  <c r="AM11" i="75"/>
  <c r="AL11" i="75"/>
  <c r="AK11" i="75"/>
  <c r="AJ11" i="75"/>
  <c r="AI11" i="75"/>
  <c r="AH11" i="75"/>
  <c r="AG11" i="75"/>
  <c r="AG49" i="75" s="1"/>
  <c r="O57" i="75" s="1"/>
  <c r="AF11" i="75"/>
  <c r="AE11" i="75"/>
  <c r="AD11" i="75"/>
  <c r="AC11" i="75"/>
  <c r="AB11" i="75"/>
  <c r="AA11" i="75"/>
  <c r="Z11" i="75"/>
  <c r="Y11" i="75"/>
  <c r="Y49" i="75" s="1"/>
  <c r="L56" i="75" s="1"/>
  <c r="X11" i="75"/>
  <c r="M11" i="75"/>
  <c r="L11" i="75"/>
  <c r="A11" i="75"/>
  <c r="L6" i="75"/>
  <c r="T4" i="75"/>
  <c r="M39" i="76"/>
  <c r="L39" i="76"/>
  <c r="K39" i="76"/>
  <c r="J39" i="76"/>
  <c r="I39" i="76"/>
  <c r="M22" i="76"/>
  <c r="L22" i="76"/>
  <c r="K22" i="76"/>
  <c r="J22" i="75" s="1"/>
  <c r="J22" i="76"/>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S191" i="78"/>
  <c r="J191" i="78"/>
  <c r="L52" i="68" s="1"/>
  <c r="N52" i="68" s="1"/>
  <c r="S189" i="78"/>
  <c r="M189" i="78"/>
  <c r="S187" i="78"/>
  <c r="U187" i="78" s="1"/>
  <c r="Z183" i="78"/>
  <c r="Z182" i="78"/>
  <c r="J182" i="78"/>
  <c r="N179" i="78"/>
  <c r="J179" i="78"/>
  <c r="W175" i="78"/>
  <c r="W161" i="78"/>
  <c r="V159" i="78"/>
  <c r="P159" i="78"/>
  <c r="P163" i="78" s="1"/>
  <c r="J159" i="78"/>
  <c r="J163" i="78" s="1"/>
  <c r="W151" i="78"/>
  <c r="W150" i="78"/>
  <c r="P146" i="78"/>
  <c r="P162" i="78" s="1"/>
  <c r="V144" i="78"/>
  <c r="S144" i="78"/>
  <c r="P144" i="78"/>
  <c r="M144" i="78"/>
  <c r="J144" i="78"/>
  <c r="G144" i="78"/>
  <c r="U143" i="78"/>
  <c r="A143" i="78"/>
  <c r="W141" i="78"/>
  <c r="O141" i="78"/>
  <c r="V139" i="78"/>
  <c r="V135" i="78"/>
  <c r="S135" i="78"/>
  <c r="P135" i="78"/>
  <c r="M135" i="78"/>
  <c r="J135" i="78"/>
  <c r="G135" i="78"/>
  <c r="U134" i="78"/>
  <c r="A134" i="78"/>
  <c r="J131" i="78"/>
  <c r="J130" i="78"/>
  <c r="W128" i="78"/>
  <c r="O128" i="78"/>
  <c r="AC127" i="78"/>
  <c r="AA127" i="78"/>
  <c r="V127" i="78"/>
  <c r="S127" i="78"/>
  <c r="P127" i="78"/>
  <c r="M127" i="78"/>
  <c r="J127" i="78"/>
  <c r="G127" i="78"/>
  <c r="C135" i="90" s="1"/>
  <c r="L65" i="85" s="1"/>
  <c r="AD126" i="78"/>
  <c r="AC126" i="78"/>
  <c r="AB126" i="78"/>
  <c r="AA126" i="78"/>
  <c r="AG125" i="78"/>
  <c r="AC125" i="78"/>
  <c r="AB125" i="78"/>
  <c r="AD125" i="78" s="1"/>
  <c r="AA125" i="78"/>
  <c r="AC124" i="78"/>
  <c r="AA124" i="78"/>
  <c r="AD123" i="78"/>
  <c r="AC123" i="78"/>
  <c r="AB123" i="78"/>
  <c r="AA123" i="78"/>
  <c r="AG122" i="78"/>
  <c r="AC122" i="78"/>
  <c r="AD122" i="78" s="1"/>
  <c r="AB122" i="78"/>
  <c r="AA122" i="78"/>
  <c r="W121" i="78"/>
  <c r="O121" i="78"/>
  <c r="E121" i="78"/>
  <c r="V120" i="78"/>
  <c r="S120" i="78"/>
  <c r="G120" i="78"/>
  <c r="U119" i="78"/>
  <c r="A119" i="78"/>
  <c r="W115" i="78"/>
  <c r="O115" i="78"/>
  <c r="V114" i="78"/>
  <c r="S114" i="78"/>
  <c r="G114" i="78"/>
  <c r="U113" i="78"/>
  <c r="A113" i="78"/>
  <c r="U112" i="78"/>
  <c r="A112" i="78"/>
  <c r="F111" i="78"/>
  <c r="B106" i="78"/>
  <c r="AD105" i="78"/>
  <c r="B105" i="78"/>
  <c r="AD104" i="78"/>
  <c r="W104" i="78"/>
  <c r="O104" i="78"/>
  <c r="V103" i="78"/>
  <c r="S103" i="78"/>
  <c r="G103" i="78"/>
  <c r="U102" i="78"/>
  <c r="A102" i="78"/>
  <c r="W96" i="78"/>
  <c r="O96" i="78"/>
  <c r="V94" i="78"/>
  <c r="V92" i="78"/>
  <c r="S92" i="78"/>
  <c r="P92" i="78"/>
  <c r="M92" i="78"/>
  <c r="J92" i="78"/>
  <c r="G92" i="78"/>
  <c r="W87" i="78"/>
  <c r="O87" i="78"/>
  <c r="V86" i="78"/>
  <c r="S86" i="78"/>
  <c r="P86" i="78"/>
  <c r="M86" i="78"/>
  <c r="J86" i="78"/>
  <c r="G86" i="78"/>
  <c r="U85" i="78"/>
  <c r="A85" i="78"/>
  <c r="W74" i="78"/>
  <c r="O74" i="78"/>
  <c r="V73" i="78"/>
  <c r="S73" i="78"/>
  <c r="P73" i="78"/>
  <c r="M73" i="78"/>
  <c r="J73" i="78"/>
  <c r="G73" i="78"/>
  <c r="U72" i="78"/>
  <c r="A72" i="78"/>
  <c r="U71" i="78"/>
  <c r="A71" i="78"/>
  <c r="W60" i="78"/>
  <c r="O60" i="78"/>
  <c r="W54" i="78"/>
  <c r="O54" i="78"/>
  <c r="W51" i="78"/>
  <c r="W45" i="78"/>
  <c r="O45" i="78"/>
  <c r="V41" i="78"/>
  <c r="S41" i="78"/>
  <c r="P41" i="78"/>
  <c r="M41" i="78"/>
  <c r="J41" i="78"/>
  <c r="G41" i="78"/>
  <c r="D40" i="78"/>
  <c r="D39" i="78"/>
  <c r="E39" i="78" s="1"/>
  <c r="D38" i="78"/>
  <c r="E38" i="78" s="1"/>
  <c r="W37" i="78"/>
  <c r="O37" i="78"/>
  <c r="V36" i="78"/>
  <c r="S36" i="78"/>
  <c r="P36" i="78"/>
  <c r="M36" i="78"/>
  <c r="J36" i="78"/>
  <c r="G36" i="78"/>
  <c r="W29" i="78"/>
  <c r="O29" i="78"/>
  <c r="V28" i="78"/>
  <c r="S28" i="78"/>
  <c r="P28" i="78"/>
  <c r="M28" i="78"/>
  <c r="J28" i="78"/>
  <c r="G28" i="78"/>
  <c r="F26" i="78"/>
  <c r="W25" i="78"/>
  <c r="O25" i="78"/>
  <c r="V24" i="78"/>
  <c r="S24" i="78"/>
  <c r="M24" i="78"/>
  <c r="G24" i="78"/>
  <c r="F20" i="78"/>
  <c r="W19" i="78"/>
  <c r="O19" i="78"/>
  <c r="V18" i="78"/>
  <c r="S18" i="78"/>
  <c r="P18" i="78"/>
  <c r="M18" i="78"/>
  <c r="J18" i="78"/>
  <c r="G18" i="78"/>
  <c r="U17" i="78"/>
  <c r="A17" i="78"/>
  <c r="U16" i="78"/>
  <c r="A16" i="78"/>
  <c r="U15" i="78"/>
  <c r="A15" i="78"/>
  <c r="W8" i="78"/>
  <c r="O8" i="78"/>
  <c r="V6" i="78"/>
  <c r="D6"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60" i="68"/>
  <c r="J487" i="99" s="1"/>
  <c r="P45" i="68"/>
  <c r="C64" i="74" s="1"/>
  <c r="P43" i="68"/>
  <c r="C61" i="74" s="1"/>
  <c r="P42" i="68"/>
  <c r="E92" i="74" s="1"/>
  <c r="P41" i="68"/>
  <c r="G27" i="74" s="1"/>
  <c r="P40" i="68"/>
  <c r="E120" i="74" s="1"/>
  <c r="S37" i="68"/>
  <c r="L33" i="68"/>
  <c r="S19" i="68"/>
  <c r="S4" i="68"/>
  <c r="L4" i="68"/>
  <c r="L184" i="67"/>
  <c r="O4" i="67"/>
  <c r="K32" i="66"/>
  <c r="J30" i="66"/>
  <c r="A2" i="68" s="1"/>
  <c r="S2" i="68" s="1"/>
  <c r="O10" i="66"/>
  <c r="A2" i="79"/>
  <c r="A2" i="99" s="1"/>
  <c r="S244" i="99" s="1"/>
  <c r="C40" i="95"/>
  <c r="A68" i="85"/>
  <c r="C39" i="90"/>
  <c r="C40" i="90"/>
  <c r="C41" i="95"/>
  <c r="C39" i="95"/>
  <c r="C44" i="95"/>
  <c r="C42" i="95"/>
  <c r="C43" i="95"/>
  <c r="L879" i="99" l="1"/>
  <c r="C16" i="86"/>
  <c r="P164" i="78"/>
  <c r="P166" i="78" s="1"/>
  <c r="L35" i="75"/>
  <c r="M35" i="75" s="1"/>
  <c r="J679" i="99"/>
  <c r="L679" i="99" s="1"/>
  <c r="L41" i="75"/>
  <c r="M41" i="75" s="1"/>
  <c r="J19" i="75"/>
  <c r="J20" i="75"/>
  <c r="J658" i="99" s="1"/>
  <c r="L658" i="99" s="1"/>
  <c r="AA49" i="75"/>
  <c r="N56" i="75" s="1"/>
  <c r="H25" i="95" s="1"/>
  <c r="BO49" i="75"/>
  <c r="N99" i="75" s="1"/>
  <c r="P137" i="72"/>
  <c r="P1628" i="99" s="1"/>
  <c r="O130" i="72"/>
  <c r="O1621" i="99" s="1"/>
  <c r="H1" i="95"/>
  <c r="A2" i="83"/>
  <c r="F12" i="85"/>
  <c r="A47" i="84"/>
  <c r="CM49" i="75"/>
  <c r="M94" i="75" s="1"/>
  <c r="P94" i="75" s="1"/>
  <c r="AB49" i="75"/>
  <c r="O56" i="75" s="1"/>
  <c r="AJ49" i="75"/>
  <c r="M58" i="75" s="1"/>
  <c r="AR49" i="75"/>
  <c r="K60" i="75" s="1"/>
  <c r="AZ49" i="75"/>
  <c r="N61" i="75" s="1"/>
  <c r="BH49" i="75"/>
  <c r="L64" i="75" s="1"/>
  <c r="BP49" i="75"/>
  <c r="O99" i="75" s="1"/>
  <c r="BX49" i="75"/>
  <c r="M97" i="75" s="1"/>
  <c r="CF49" i="75"/>
  <c r="K95" i="75" s="1"/>
  <c r="K100" i="75" s="1"/>
  <c r="CN49" i="75"/>
  <c r="N94" i="75" s="1"/>
  <c r="CV49" i="75"/>
  <c r="L110" i="75" s="1"/>
  <c r="DD49" i="75"/>
  <c r="O109" i="75" s="1"/>
  <c r="DL49" i="75"/>
  <c r="M107" i="75" s="1"/>
  <c r="DT49" i="75"/>
  <c r="K105" i="75" s="1"/>
  <c r="EB49" i="75"/>
  <c r="N104" i="75" s="1"/>
  <c r="EJ49" i="75"/>
  <c r="L157" i="75" s="1"/>
  <c r="ER49" i="75"/>
  <c r="O158" i="75" s="1"/>
  <c r="O164" i="75" s="1"/>
  <c r="O166" i="75" s="1"/>
  <c r="O168" i="75" s="1"/>
  <c r="EZ49" i="75"/>
  <c r="M160" i="75" s="1"/>
  <c r="FH49" i="75"/>
  <c r="K162" i="75" s="1"/>
  <c r="FP49" i="75"/>
  <c r="N163" i="75" s="1"/>
  <c r="FX49" i="75"/>
  <c r="GF49" i="75"/>
  <c r="O167" i="75" s="1"/>
  <c r="GN49" i="75"/>
  <c r="M114" i="75" s="1"/>
  <c r="GV49" i="75"/>
  <c r="K116" i="75" s="1"/>
  <c r="HD49" i="75"/>
  <c r="N117" i="75" s="1"/>
  <c r="HL49" i="75"/>
  <c r="L119" i="75" s="1"/>
  <c r="HT49" i="75"/>
  <c r="O120" i="75" s="1"/>
  <c r="IB49" i="75"/>
  <c r="IJ49" i="75"/>
  <c r="K137" i="75" s="1"/>
  <c r="IR49" i="75"/>
  <c r="N142" i="75" s="1"/>
  <c r="IZ49" i="75"/>
  <c r="L140" i="75" s="1"/>
  <c r="JH49" i="75"/>
  <c r="O141" i="75" s="1"/>
  <c r="JP49" i="75"/>
  <c r="M139" i="75" s="1"/>
  <c r="M150" i="75" s="1"/>
  <c r="K58" i="98" s="1"/>
  <c r="N58" i="98" s="1"/>
  <c r="JX49" i="75"/>
  <c r="K130" i="75" s="1"/>
  <c r="KF49" i="75"/>
  <c r="N129" i="75" s="1"/>
  <c r="KN49" i="75"/>
  <c r="L132" i="75" s="1"/>
  <c r="KV49" i="75"/>
  <c r="O134" i="75" s="1"/>
  <c r="LD49" i="75"/>
  <c r="M135" i="75" s="1"/>
  <c r="LL49" i="75"/>
  <c r="LT49" i="75"/>
  <c r="MB49" i="75"/>
  <c r="MJ49" i="75"/>
  <c r="MR49" i="75"/>
  <c r="L32" i="75"/>
  <c r="M32" i="75" s="1"/>
  <c r="F39" i="78"/>
  <c r="D41" i="78"/>
  <c r="AI49" i="75"/>
  <c r="L58" i="75" s="1"/>
  <c r="AY49" i="75"/>
  <c r="M61" i="75" s="1"/>
  <c r="CU49" i="75"/>
  <c r="K110" i="75" s="1"/>
  <c r="P110" i="75" s="1"/>
  <c r="A49" i="75"/>
  <c r="A6" i="75" s="1"/>
  <c r="AC49" i="75"/>
  <c r="K57" i="75" s="1"/>
  <c r="AK49" i="75"/>
  <c r="N58" i="75" s="1"/>
  <c r="AS49" i="75"/>
  <c r="L60" i="75" s="1"/>
  <c r="BA49" i="75"/>
  <c r="O61" i="75" s="1"/>
  <c r="BI49" i="75"/>
  <c r="M64" i="75" s="1"/>
  <c r="BQ49" i="75"/>
  <c r="K98" i="75" s="1"/>
  <c r="BY49" i="75"/>
  <c r="N97" i="75" s="1"/>
  <c r="N100" i="75" s="1"/>
  <c r="CG49" i="75"/>
  <c r="L95" i="75" s="1"/>
  <c r="CO49" i="75"/>
  <c r="O94" i="75" s="1"/>
  <c r="CW49" i="75"/>
  <c r="M110" i="75" s="1"/>
  <c r="DE49" i="75"/>
  <c r="K108" i="75" s="1"/>
  <c r="DM49" i="75"/>
  <c r="N107" i="75" s="1"/>
  <c r="DU49" i="75"/>
  <c r="L105" i="75" s="1"/>
  <c r="EC49" i="75"/>
  <c r="O104" i="75" s="1"/>
  <c r="EK49" i="75"/>
  <c r="M157" i="75" s="1"/>
  <c r="M164" i="75" s="1"/>
  <c r="M166" i="75" s="1"/>
  <c r="M168" i="75" s="1"/>
  <c r="ES49" i="75"/>
  <c r="K159" i="75" s="1"/>
  <c r="FA49" i="75"/>
  <c r="N160" i="75" s="1"/>
  <c r="FI49" i="75"/>
  <c r="L162" i="75" s="1"/>
  <c r="FQ49" i="75"/>
  <c r="O163" i="75" s="1"/>
  <c r="FY49" i="75"/>
  <c r="GG49" i="75"/>
  <c r="K113" i="75" s="1"/>
  <c r="GO49" i="75"/>
  <c r="N114" i="75" s="1"/>
  <c r="GW49" i="75"/>
  <c r="L116" i="75" s="1"/>
  <c r="P116" i="75" s="1"/>
  <c r="HE49" i="75"/>
  <c r="O117" i="75" s="1"/>
  <c r="HM49" i="75"/>
  <c r="M119" i="75" s="1"/>
  <c r="HU49" i="75"/>
  <c r="IC49" i="75"/>
  <c r="IK49" i="75"/>
  <c r="L137" i="75" s="1"/>
  <c r="IS49" i="75"/>
  <c r="O142" i="75" s="1"/>
  <c r="JA49" i="75"/>
  <c r="M140" i="75" s="1"/>
  <c r="JI49" i="75"/>
  <c r="K138" i="75" s="1"/>
  <c r="K149" i="75" s="1"/>
  <c r="JQ49" i="75"/>
  <c r="N139" i="75" s="1"/>
  <c r="N150" i="75" s="1"/>
  <c r="K59" i="98" s="1"/>
  <c r="JY49" i="75"/>
  <c r="L130" i="75" s="1"/>
  <c r="KG49" i="75"/>
  <c r="O129" i="75" s="1"/>
  <c r="KO49" i="75"/>
  <c r="M132" i="75" s="1"/>
  <c r="KW49" i="75"/>
  <c r="K133" i="75" s="1"/>
  <c r="LE49" i="75"/>
  <c r="N135" i="75" s="1"/>
  <c r="LM49" i="75"/>
  <c r="LU49" i="75"/>
  <c r="MC49" i="75"/>
  <c r="MK49" i="75"/>
  <c r="MS49" i="75"/>
  <c r="L26" i="75"/>
  <c r="M26" i="75" s="1"/>
  <c r="A1" i="87"/>
  <c r="CE49" i="75"/>
  <c r="O96" i="75" s="1"/>
  <c r="I10" i="66"/>
  <c r="L51" i="68"/>
  <c r="B14" i="82" s="1"/>
  <c r="B20" i="82" s="1"/>
  <c r="B21" i="82" s="1"/>
  <c r="V146" i="78"/>
  <c r="AD49" i="75"/>
  <c r="L57" i="75" s="1"/>
  <c r="AL49" i="75"/>
  <c r="O58" i="75" s="1"/>
  <c r="AT49" i="75"/>
  <c r="M60" i="75" s="1"/>
  <c r="BB49" i="75"/>
  <c r="K62" i="75" s="1"/>
  <c r="BJ49" i="75"/>
  <c r="N64" i="75" s="1"/>
  <c r="BR49" i="75"/>
  <c r="L98" i="75" s="1"/>
  <c r="BZ49" i="75"/>
  <c r="O97" i="75" s="1"/>
  <c r="CH49" i="75"/>
  <c r="M95" i="75" s="1"/>
  <c r="CP49" i="75"/>
  <c r="K93" i="75" s="1"/>
  <c r="CX49" i="75"/>
  <c r="N110" i="75" s="1"/>
  <c r="DF49" i="75"/>
  <c r="L108" i="75" s="1"/>
  <c r="DN49" i="75"/>
  <c r="O107" i="75" s="1"/>
  <c r="DV49" i="75"/>
  <c r="M105" i="75" s="1"/>
  <c r="ED49" i="75"/>
  <c r="K66" i="75" s="1"/>
  <c r="EL49" i="75"/>
  <c r="N157" i="75" s="1"/>
  <c r="N164" i="75" s="1"/>
  <c r="N166" i="75" s="1"/>
  <c r="N168" i="75" s="1"/>
  <c r="ET49" i="75"/>
  <c r="L159" i="75" s="1"/>
  <c r="FB49" i="75"/>
  <c r="O160" i="75" s="1"/>
  <c r="FJ49" i="75"/>
  <c r="M162" i="75" s="1"/>
  <c r="FR49" i="75"/>
  <c r="K165" i="75" s="1"/>
  <c r="FZ49" i="75"/>
  <c r="GH49" i="75"/>
  <c r="L113" i="75" s="1"/>
  <c r="GP49" i="75"/>
  <c r="O114" i="75" s="1"/>
  <c r="GX49" i="75"/>
  <c r="M116" i="75" s="1"/>
  <c r="M118" i="75" s="1"/>
  <c r="HF49" i="75"/>
  <c r="HN49" i="75"/>
  <c r="N119" i="75" s="1"/>
  <c r="HV49" i="75"/>
  <c r="ID49" i="75"/>
  <c r="IL49" i="75"/>
  <c r="M137" i="75" s="1"/>
  <c r="IT49" i="75"/>
  <c r="K143" i="75" s="1"/>
  <c r="JB49" i="75"/>
  <c r="N140" i="75" s="1"/>
  <c r="JJ49" i="75"/>
  <c r="L138" i="75" s="1"/>
  <c r="L149" i="75" s="1"/>
  <c r="F57" i="98" s="1"/>
  <c r="I57" i="98" s="1"/>
  <c r="JR49" i="75"/>
  <c r="O139" i="75" s="1"/>
  <c r="O150" i="75" s="1"/>
  <c r="K60" i="98" s="1"/>
  <c r="JZ49" i="75"/>
  <c r="M130" i="75" s="1"/>
  <c r="KH49" i="75"/>
  <c r="K131" i="75" s="1"/>
  <c r="KP49" i="75"/>
  <c r="N132" i="75" s="1"/>
  <c r="KX49" i="75"/>
  <c r="L133" i="75" s="1"/>
  <c r="LF49" i="75"/>
  <c r="O135" i="75" s="1"/>
  <c r="LN49" i="75"/>
  <c r="LV49" i="75"/>
  <c r="MD49" i="75"/>
  <c r="ML49" i="75"/>
  <c r="MT49" i="75"/>
  <c r="J377" i="72"/>
  <c r="P36" i="72"/>
  <c r="M441" i="72" s="1"/>
  <c r="J88" i="72"/>
  <c r="H224" i="72"/>
  <c r="F38" i="78"/>
  <c r="E108" i="78"/>
  <c r="J108" i="78" s="1"/>
  <c r="BW49" i="75"/>
  <c r="L97" i="75" s="1"/>
  <c r="E40" i="78"/>
  <c r="E41" i="78" s="1"/>
  <c r="G37" i="78" s="1"/>
  <c r="AD124" i="78"/>
  <c r="AU49" i="75"/>
  <c r="N60" i="75" s="1"/>
  <c r="BS49" i="75"/>
  <c r="M98" i="75" s="1"/>
  <c r="CI49" i="75"/>
  <c r="N95" i="75" s="1"/>
  <c r="CY49" i="75"/>
  <c r="O110" i="75" s="1"/>
  <c r="DO49" i="75"/>
  <c r="K106" i="75" s="1"/>
  <c r="EE49" i="75"/>
  <c r="L66" i="75" s="1"/>
  <c r="EU49" i="75"/>
  <c r="M159" i="75" s="1"/>
  <c r="FK49" i="75"/>
  <c r="N162" i="75" s="1"/>
  <c r="GI49" i="75"/>
  <c r="M113" i="75" s="1"/>
  <c r="GQ49" i="75"/>
  <c r="HG49" i="75"/>
  <c r="HW49" i="75"/>
  <c r="M121" i="75" s="1"/>
  <c r="IM49" i="75"/>
  <c r="N137" i="75" s="1"/>
  <c r="JC49" i="75"/>
  <c r="O140" i="75" s="1"/>
  <c r="JS49" i="75"/>
  <c r="K128" i="75" s="1"/>
  <c r="KQ49" i="75"/>
  <c r="O132" i="75" s="1"/>
  <c r="LG49" i="75"/>
  <c r="LW49" i="75"/>
  <c r="ME49" i="75"/>
  <c r="P1900" i="99"/>
  <c r="P404" i="72"/>
  <c r="AH56" i="72" s="1"/>
  <c r="Z49" i="75"/>
  <c r="M56" i="75" s="1"/>
  <c r="M146" i="78"/>
  <c r="M162" i="78" s="1"/>
  <c r="M164" i="78" s="1"/>
  <c r="M166" i="78" s="1"/>
  <c r="C49" i="78"/>
  <c r="H18" i="84" s="1"/>
  <c r="AQ49" i="75"/>
  <c r="O59" i="75" s="1"/>
  <c r="BG49" i="75"/>
  <c r="K64" i="75" s="1"/>
  <c r="D45" i="68"/>
  <c r="D287" i="99" s="1"/>
  <c r="A1" i="76"/>
  <c r="AE49" i="75"/>
  <c r="M57" i="75" s="1"/>
  <c r="AM49" i="75"/>
  <c r="K59" i="75" s="1"/>
  <c r="BC49" i="75"/>
  <c r="L62" i="75" s="1"/>
  <c r="BK49" i="75"/>
  <c r="O64" i="75" s="1"/>
  <c r="CA49" i="75"/>
  <c r="K96" i="75" s="1"/>
  <c r="CQ49" i="75"/>
  <c r="L93" i="75" s="1"/>
  <c r="DG49" i="75"/>
  <c r="M108" i="75" s="1"/>
  <c r="DW49" i="75"/>
  <c r="N105" i="75" s="1"/>
  <c r="N111" i="75" s="1"/>
  <c r="EM49" i="75"/>
  <c r="O157" i="75" s="1"/>
  <c r="FC49" i="75"/>
  <c r="K161" i="75" s="1"/>
  <c r="FS49" i="75"/>
  <c r="L165" i="75" s="1"/>
  <c r="GA49" i="75"/>
  <c r="GY49" i="75"/>
  <c r="N116" i="75" s="1"/>
  <c r="HO49" i="75"/>
  <c r="O119" i="75" s="1"/>
  <c r="IE49" i="75"/>
  <c r="K136" i="75" s="1"/>
  <c r="IU49" i="75"/>
  <c r="L143" i="75" s="1"/>
  <c r="P143" i="75" s="1"/>
  <c r="JK49" i="75"/>
  <c r="M138" i="75" s="1"/>
  <c r="M149" i="75" s="1"/>
  <c r="F58" i="98" s="1"/>
  <c r="KA49" i="75"/>
  <c r="N130" i="75" s="1"/>
  <c r="KI49" i="75"/>
  <c r="L131" i="75" s="1"/>
  <c r="KY49" i="75"/>
  <c r="M133" i="75" s="1"/>
  <c r="LO49" i="75"/>
  <c r="MM49" i="75"/>
  <c r="F40" i="78"/>
  <c r="G43" i="78"/>
  <c r="X49" i="75"/>
  <c r="K56" i="75" s="1"/>
  <c r="AF49" i="75"/>
  <c r="N57" i="75" s="1"/>
  <c r="AN49" i="75"/>
  <c r="L59" i="75" s="1"/>
  <c r="AV49" i="75"/>
  <c r="O60" i="75" s="1"/>
  <c r="BD49" i="75"/>
  <c r="M62" i="75" s="1"/>
  <c r="BL49" i="75"/>
  <c r="K99" i="75" s="1"/>
  <c r="BT49" i="75"/>
  <c r="N98" i="75" s="1"/>
  <c r="CB49" i="75"/>
  <c r="L96" i="75" s="1"/>
  <c r="L100" i="75" s="1"/>
  <c r="CJ49" i="75"/>
  <c r="O95" i="75" s="1"/>
  <c r="CR49" i="75"/>
  <c r="M93" i="75" s="1"/>
  <c r="O1758" i="99"/>
  <c r="Q1758" i="99" s="1"/>
  <c r="O260" i="72"/>
  <c r="O1832" i="99"/>
  <c r="AA53" i="72"/>
  <c r="E26" i="72"/>
  <c r="X53" i="72"/>
  <c r="AC53" i="72"/>
  <c r="LH653" i="99"/>
  <c r="LJ653" i="99"/>
  <c r="BB653" i="99"/>
  <c r="HR653" i="99"/>
  <c r="AX654" i="99"/>
  <c r="AC1550" i="99"/>
  <c r="AB1550" i="99"/>
  <c r="AA1550" i="99"/>
  <c r="Z1550" i="99"/>
  <c r="AC50" i="72"/>
  <c r="P328" i="99"/>
  <c r="M383" i="99"/>
  <c r="A382" i="99"/>
  <c r="P402" i="99"/>
  <c r="M402" i="99"/>
  <c r="M445" i="99"/>
  <c r="J630" i="99"/>
  <c r="A649" i="99"/>
  <c r="AE649" i="99"/>
  <c r="FC649" i="99"/>
  <c r="JC649" i="99"/>
  <c r="MJ649" i="99"/>
  <c r="AB650" i="99"/>
  <c r="CI650" i="99"/>
  <c r="GY650" i="99"/>
  <c r="JN652" i="99"/>
  <c r="DD653" i="99"/>
  <c r="CX654" i="99"/>
  <c r="LS654" i="99"/>
  <c r="L655" i="99"/>
  <c r="BM655" i="99"/>
  <c r="MO657" i="99"/>
  <c r="LB657" i="99"/>
  <c r="KF657" i="99"/>
  <c r="JL657" i="99"/>
  <c r="IP657" i="99"/>
  <c r="HO657" i="99"/>
  <c r="EG657" i="99"/>
  <c r="AY657" i="99"/>
  <c r="MN657" i="99"/>
  <c r="KV657" i="99"/>
  <c r="KB657" i="99"/>
  <c r="JF657" i="99"/>
  <c r="IJ657" i="99"/>
  <c r="HD657" i="99"/>
  <c r="DX657" i="99"/>
  <c r="AP657" i="99"/>
  <c r="MM657" i="99"/>
  <c r="KU657" i="99"/>
  <c r="KA657" i="99"/>
  <c r="JE657" i="99"/>
  <c r="II657" i="99"/>
  <c r="GS657" i="99"/>
  <c r="DK657" i="99"/>
  <c r="AE657" i="99"/>
  <c r="MJ657" i="99"/>
  <c r="KT657" i="99"/>
  <c r="JX657" i="99"/>
  <c r="JD657" i="99"/>
  <c r="IH657" i="99"/>
  <c r="GJ657" i="99"/>
  <c r="DB657" i="99"/>
  <c r="LP657" i="99"/>
  <c r="ER657" i="99"/>
  <c r="IR657" i="99"/>
  <c r="KJ657" i="99"/>
  <c r="MR657" i="99"/>
  <c r="CB658" i="99"/>
  <c r="IF658" i="99"/>
  <c r="CG662" i="99"/>
  <c r="IO668" i="99"/>
  <c r="IB668" i="99"/>
  <c r="LF668" i="99"/>
  <c r="HZ668" i="99"/>
  <c r="LB668" i="99"/>
  <c r="AI1550" i="99"/>
  <c r="AG1550" i="99"/>
  <c r="H51" i="86"/>
  <c r="P383" i="99"/>
  <c r="LX651" i="99"/>
  <c r="DN653" i="99"/>
  <c r="DJ654" i="99"/>
  <c r="CB655" i="99"/>
  <c r="A657" i="99"/>
  <c r="FC657" i="99"/>
  <c r="IU657" i="99"/>
  <c r="KK657" i="99"/>
  <c r="LO662" i="99"/>
  <c r="LK662" i="99"/>
  <c r="HO662" i="99"/>
  <c r="J1764" i="99"/>
  <c r="L1764" i="99" s="1"/>
  <c r="CZ49" i="75"/>
  <c r="K109" i="75" s="1"/>
  <c r="DH49" i="75"/>
  <c r="N108" i="75" s="1"/>
  <c r="DP49" i="75"/>
  <c r="L106" i="75" s="1"/>
  <c r="DX49" i="75"/>
  <c r="O105" i="75" s="1"/>
  <c r="EF49" i="75"/>
  <c r="M66" i="75" s="1"/>
  <c r="EN49" i="75"/>
  <c r="K158" i="75" s="1"/>
  <c r="EV49" i="75"/>
  <c r="N159" i="75" s="1"/>
  <c r="FD49" i="75"/>
  <c r="L161" i="75" s="1"/>
  <c r="FL49" i="75"/>
  <c r="O162" i="75" s="1"/>
  <c r="FT49" i="75"/>
  <c r="M165" i="75" s="1"/>
  <c r="GB49" i="75"/>
  <c r="K167" i="75" s="1"/>
  <c r="GJ49" i="75"/>
  <c r="N113" i="75" s="1"/>
  <c r="N115" i="75" s="1"/>
  <c r="GR49" i="75"/>
  <c r="GZ49" i="75"/>
  <c r="O116" i="75" s="1"/>
  <c r="HH49" i="75"/>
  <c r="HP49" i="75"/>
  <c r="K120" i="75" s="1"/>
  <c r="HX49" i="75"/>
  <c r="IF49" i="75"/>
  <c r="L136" i="75" s="1"/>
  <c r="IN49" i="75"/>
  <c r="O137" i="75" s="1"/>
  <c r="IV49" i="75"/>
  <c r="M143" i="75" s="1"/>
  <c r="JD49" i="75"/>
  <c r="K141" i="75" s="1"/>
  <c r="JL49" i="75"/>
  <c r="N138" i="75" s="1"/>
  <c r="N149" i="75" s="1"/>
  <c r="F59" i="98" s="1"/>
  <c r="JT49" i="75"/>
  <c r="L128" i="75" s="1"/>
  <c r="KB49" i="75"/>
  <c r="O130" i="75" s="1"/>
  <c r="O153" i="75" s="1"/>
  <c r="F74" i="98" s="1"/>
  <c r="KJ49" i="75"/>
  <c r="M131" i="75" s="1"/>
  <c r="M154" i="75" s="1"/>
  <c r="K72" i="98" s="1"/>
  <c r="KR49" i="75"/>
  <c r="K134" i="75" s="1"/>
  <c r="KZ49" i="75"/>
  <c r="N133" i="75" s="1"/>
  <c r="LH49" i="75"/>
  <c r="LP49" i="75"/>
  <c r="LX49" i="75"/>
  <c r="MF49" i="75"/>
  <c r="MN49" i="75"/>
  <c r="E24" i="72"/>
  <c r="AE47" i="72"/>
  <c r="AE49" i="72"/>
  <c r="AD54" i="72"/>
  <c r="AE55" i="72"/>
  <c r="AI60" i="72"/>
  <c r="C31" i="86"/>
  <c r="C21" i="90"/>
  <c r="G44" i="93"/>
  <c r="H44" i="93" s="1"/>
  <c r="L238" i="99"/>
  <c r="J613" i="99"/>
  <c r="M613" i="99"/>
  <c r="BK649" i="99"/>
  <c r="GI649" i="99"/>
  <c r="JX649" i="99"/>
  <c r="AM650" i="99"/>
  <c r="DO650" i="99"/>
  <c r="LO650" i="99"/>
  <c r="MM651" i="99"/>
  <c r="L652" i="99"/>
  <c r="DZ653" i="99"/>
  <c r="DT654" i="99"/>
  <c r="LL655" i="99"/>
  <c r="EZ655" i="99"/>
  <c r="AJ655" i="99"/>
  <c r="IB655" i="99"/>
  <c r="EH655" i="99"/>
  <c r="IA655" i="99"/>
  <c r="DR655" i="99"/>
  <c r="HZ655" i="99"/>
  <c r="DC655" i="99"/>
  <c r="CQ655" i="99"/>
  <c r="MO655" i="99"/>
  <c r="IE656" i="99"/>
  <c r="FN657" i="99"/>
  <c r="IV657" i="99"/>
  <c r="MP658" i="99"/>
  <c r="MH658" i="99"/>
  <c r="KB658" i="99"/>
  <c r="IX658" i="99"/>
  <c r="HP658" i="99"/>
  <c r="ER658" i="99"/>
  <c r="AH658" i="99"/>
  <c r="LX658" i="99"/>
  <c r="JV658" i="99"/>
  <c r="IV658" i="99"/>
  <c r="GV658" i="99"/>
  <c r="EH658" i="99"/>
  <c r="X658" i="99"/>
  <c r="JT658" i="99"/>
  <c r="IP658" i="99"/>
  <c r="GL658" i="99"/>
  <c r="DP658" i="99"/>
  <c r="LB658" i="99"/>
  <c r="JP658" i="99"/>
  <c r="IN658" i="99"/>
  <c r="GD658" i="99"/>
  <c r="DD658" i="99"/>
  <c r="FH658" i="99"/>
  <c r="IZ658" i="99"/>
  <c r="MN658" i="99"/>
  <c r="ML662" i="99"/>
  <c r="HE662" i="99"/>
  <c r="GA662" i="99"/>
  <c r="EY662" i="99"/>
  <c r="DS662" i="99"/>
  <c r="CB662" i="99"/>
  <c r="AL662" i="99"/>
  <c r="LX662" i="99"/>
  <c r="GZ662" i="99"/>
  <c r="FZ662" i="99"/>
  <c r="ES662" i="99"/>
  <c r="DM662" i="99"/>
  <c r="BV662" i="99"/>
  <c r="AE662" i="99"/>
  <c r="GT662" i="99"/>
  <c r="FY662" i="99"/>
  <c r="EN662" i="99"/>
  <c r="DH662" i="99"/>
  <c r="BR662" i="99"/>
  <c r="AA662" i="99"/>
  <c r="KL662" i="99"/>
  <c r="GP662" i="99"/>
  <c r="FW662" i="99"/>
  <c r="EH662" i="99"/>
  <c r="DB662" i="99"/>
  <c r="BK662" i="99"/>
  <c r="GD662" i="99"/>
  <c r="ED662" i="99"/>
  <c r="AV662" i="99"/>
  <c r="GB662" i="99"/>
  <c r="DW662" i="99"/>
  <c r="AP662" i="99"/>
  <c r="IU662" i="99"/>
  <c r="FT662" i="99"/>
  <c r="CX662" i="99"/>
  <c r="HV662" i="99"/>
  <c r="FN662" i="99"/>
  <c r="CQ662" i="99"/>
  <c r="EE662" i="99"/>
  <c r="MM667" i="99"/>
  <c r="MP667" i="99"/>
  <c r="LB667" i="99"/>
  <c r="KL667" i="99"/>
  <c r="JV667" i="99"/>
  <c r="JF667" i="99"/>
  <c r="IP667" i="99"/>
  <c r="HZ667" i="99"/>
  <c r="EH667" i="99"/>
  <c r="Z667" i="99"/>
  <c r="MN667" i="99"/>
  <c r="KZ667" i="99"/>
  <c r="KJ667" i="99"/>
  <c r="JT667" i="99"/>
  <c r="JD667" i="99"/>
  <c r="IN667" i="99"/>
  <c r="HJ667" i="99"/>
  <c r="EF667" i="99"/>
  <c r="MI667" i="99"/>
  <c r="KV667" i="99"/>
  <c r="KF667" i="99"/>
  <c r="JP667" i="99"/>
  <c r="IZ667" i="99"/>
  <c r="IJ667" i="99"/>
  <c r="GT667" i="99"/>
  <c r="DR667" i="99"/>
  <c r="MH667" i="99"/>
  <c r="KU667" i="99"/>
  <c r="KE667" i="99"/>
  <c r="JO667" i="99"/>
  <c r="IY667" i="99"/>
  <c r="II667" i="99"/>
  <c r="GE667" i="99"/>
  <c r="DB667" i="99"/>
  <c r="KN667" i="99"/>
  <c r="JH667" i="99"/>
  <c r="IB667" i="99"/>
  <c r="BF667" i="99"/>
  <c r="KM667" i="99"/>
  <c r="JG667" i="99"/>
  <c r="IA667" i="99"/>
  <c r="AP667" i="99"/>
  <c r="MF667" i="99"/>
  <c r="KD667" i="99"/>
  <c r="IX667" i="99"/>
  <c r="GD667" i="99"/>
  <c r="LR667" i="99"/>
  <c r="KB667" i="99"/>
  <c r="IV667" i="99"/>
  <c r="GB667" i="99"/>
  <c r="JN667" i="99"/>
  <c r="CL667" i="99"/>
  <c r="JL667" i="99"/>
  <c r="BV667" i="99"/>
  <c r="LD667" i="99"/>
  <c r="IR667" i="99"/>
  <c r="LC667" i="99"/>
  <c r="IQ667" i="99"/>
  <c r="FX667" i="99"/>
  <c r="JW667" i="99"/>
  <c r="AI1542" i="99"/>
  <c r="AG1542" i="99"/>
  <c r="DA49" i="75"/>
  <c r="L109" i="75" s="1"/>
  <c r="L111" i="75" s="1"/>
  <c r="DI49" i="75"/>
  <c r="O108" i="75" s="1"/>
  <c r="DQ49" i="75"/>
  <c r="M106" i="75" s="1"/>
  <c r="DY49" i="75"/>
  <c r="K104" i="75" s="1"/>
  <c r="EG49" i="75"/>
  <c r="N66" i="75" s="1"/>
  <c r="EO49" i="75"/>
  <c r="L158" i="75" s="1"/>
  <c r="EW49" i="75"/>
  <c r="O159" i="75" s="1"/>
  <c r="FE49" i="75"/>
  <c r="M161" i="75" s="1"/>
  <c r="FM49" i="75"/>
  <c r="K163" i="75" s="1"/>
  <c r="P163" i="75" s="1"/>
  <c r="FU49" i="75"/>
  <c r="N165" i="75" s="1"/>
  <c r="GC49" i="75"/>
  <c r="L167" i="75" s="1"/>
  <c r="GK49" i="75"/>
  <c r="O113" i="75" s="1"/>
  <c r="GS49" i="75"/>
  <c r="M115" i="75" s="1"/>
  <c r="HA49" i="75"/>
  <c r="K117" i="75" s="1"/>
  <c r="HI49" i="75"/>
  <c r="HQ49" i="75"/>
  <c r="L120" i="75" s="1"/>
  <c r="HY49" i="75"/>
  <c r="O121" i="75" s="1"/>
  <c r="IG49" i="75"/>
  <c r="M136" i="75" s="1"/>
  <c r="IO49" i="75"/>
  <c r="K142" i="75" s="1"/>
  <c r="IW49" i="75"/>
  <c r="N143" i="75" s="1"/>
  <c r="JE49" i="75"/>
  <c r="L141" i="75" s="1"/>
  <c r="JM49" i="75"/>
  <c r="O138" i="75" s="1"/>
  <c r="O149" i="75" s="1"/>
  <c r="F60" i="98" s="1"/>
  <c r="JU49" i="75"/>
  <c r="M128" i="75" s="1"/>
  <c r="KC49" i="75"/>
  <c r="K129" i="75" s="1"/>
  <c r="KK49" i="75"/>
  <c r="N131" i="75" s="1"/>
  <c r="P131" i="75" s="1"/>
  <c r="KS49" i="75"/>
  <c r="L134" i="75" s="1"/>
  <c r="LA49" i="75"/>
  <c r="O133" i="75" s="1"/>
  <c r="LI49" i="75"/>
  <c r="LQ49" i="75"/>
  <c r="LY49" i="75"/>
  <c r="MG49" i="75"/>
  <c r="MO49" i="75"/>
  <c r="L27" i="75"/>
  <c r="M27" i="75" s="1"/>
  <c r="N338" i="73"/>
  <c r="AG47" i="72"/>
  <c r="AF49" i="72"/>
  <c r="X55" i="72"/>
  <c r="AF55" i="72"/>
  <c r="H36" i="86"/>
  <c r="B64" i="96"/>
  <c r="V456" i="99"/>
  <c r="P346" i="99"/>
  <c r="A395" i="99"/>
  <c r="P445" i="99"/>
  <c r="M454" i="99"/>
  <c r="ME649" i="99"/>
  <c r="CN649" i="99"/>
  <c r="HL649" i="99"/>
  <c r="KA649" i="99"/>
  <c r="IE650" i="99"/>
  <c r="FS650" i="99"/>
  <c r="CY650" i="99"/>
  <c r="BP650" i="99"/>
  <c r="AE650" i="99"/>
  <c r="IB650" i="99"/>
  <c r="FC650" i="99"/>
  <c r="CV650" i="99"/>
  <c r="BK650" i="99"/>
  <c r="HO650" i="99"/>
  <c r="EU650" i="99"/>
  <c r="CQ650" i="99"/>
  <c r="BH650" i="99"/>
  <c r="MM650" i="99"/>
  <c r="HG650" i="99"/>
  <c r="EM650" i="99"/>
  <c r="CN650" i="99"/>
  <c r="BC650" i="99"/>
  <c r="AU650" i="99"/>
  <c r="DW650" i="99"/>
  <c r="LW650" i="99"/>
  <c r="AT652" i="99"/>
  <c r="KE652" i="99"/>
  <c r="EJ653" i="99"/>
  <c r="IZ653" i="99"/>
  <c r="LE653" i="99"/>
  <c r="IR654" i="99"/>
  <c r="GB655" i="99"/>
  <c r="FO655" i="99"/>
  <c r="JP656" i="99"/>
  <c r="FW657" i="99"/>
  <c r="IZ657" i="99"/>
  <c r="KR657" i="99"/>
  <c r="FT658" i="99"/>
  <c r="JF658" i="99"/>
  <c r="MR658" i="99"/>
  <c r="AP659" i="99"/>
  <c r="DX659" i="99"/>
  <c r="HD659" i="99"/>
  <c r="JG659" i="99"/>
  <c r="CL660" i="99"/>
  <c r="HS660" i="99"/>
  <c r="EF662" i="99"/>
  <c r="JX667" i="99"/>
  <c r="BF670" i="99"/>
  <c r="BY673" i="99"/>
  <c r="AH49" i="75"/>
  <c r="K58" i="75" s="1"/>
  <c r="K63" i="75" s="1"/>
  <c r="AP49" i="75"/>
  <c r="N59" i="75" s="1"/>
  <c r="AX49" i="75"/>
  <c r="L61" i="75" s="1"/>
  <c r="BF49" i="75"/>
  <c r="O62" i="75" s="1"/>
  <c r="BN49" i="75"/>
  <c r="M99" i="75" s="1"/>
  <c r="BV49" i="75"/>
  <c r="K97" i="75" s="1"/>
  <c r="CD49" i="75"/>
  <c r="N96" i="75" s="1"/>
  <c r="CL49" i="75"/>
  <c r="L94" i="75" s="1"/>
  <c r="CT49" i="75"/>
  <c r="O93" i="75" s="1"/>
  <c r="P93" i="75" s="1"/>
  <c r="DB49" i="75"/>
  <c r="M109" i="75" s="1"/>
  <c r="DJ49" i="75"/>
  <c r="K107" i="75" s="1"/>
  <c r="DR49" i="75"/>
  <c r="N106" i="75" s="1"/>
  <c r="DZ49" i="75"/>
  <c r="L104" i="75" s="1"/>
  <c r="EH49" i="75"/>
  <c r="O66" i="75" s="1"/>
  <c r="EP49" i="75"/>
  <c r="M158" i="75" s="1"/>
  <c r="EX49" i="75"/>
  <c r="K160" i="75" s="1"/>
  <c r="FF49" i="75"/>
  <c r="N161" i="75" s="1"/>
  <c r="P161" i="75" s="1"/>
  <c r="FN49" i="75"/>
  <c r="L163" i="75" s="1"/>
  <c r="FV49" i="75"/>
  <c r="O165" i="75" s="1"/>
  <c r="GD49" i="75"/>
  <c r="M167" i="75" s="1"/>
  <c r="GL49" i="75"/>
  <c r="K114" i="75" s="1"/>
  <c r="GT49" i="75"/>
  <c r="HB49" i="75"/>
  <c r="L117" i="75" s="1"/>
  <c r="HJ49" i="75"/>
  <c r="HR49" i="75"/>
  <c r="M120" i="75" s="1"/>
  <c r="P120" i="75" s="1"/>
  <c r="HZ49" i="75"/>
  <c r="IH49" i="75"/>
  <c r="N136" i="75" s="1"/>
  <c r="N147" i="75" s="1"/>
  <c r="F52" i="98" s="1"/>
  <c r="IP49" i="75"/>
  <c r="L142" i="75" s="1"/>
  <c r="IX49" i="75"/>
  <c r="O143" i="75" s="1"/>
  <c r="JF49" i="75"/>
  <c r="M141" i="75" s="1"/>
  <c r="JN49" i="75"/>
  <c r="K139" i="75" s="1"/>
  <c r="JV49" i="75"/>
  <c r="N128" i="75" s="1"/>
  <c r="KD49" i="75"/>
  <c r="L129" i="75" s="1"/>
  <c r="L127" i="75" s="1"/>
  <c r="KL49" i="75"/>
  <c r="O131" i="75" s="1"/>
  <c r="O154" i="75" s="1"/>
  <c r="K74" i="98" s="1"/>
  <c r="KT49" i="75"/>
  <c r="M134" i="75" s="1"/>
  <c r="LB49" i="75"/>
  <c r="K135" i="75" s="1"/>
  <c r="LJ49" i="75"/>
  <c r="LR49" i="75"/>
  <c r="LZ49" i="75"/>
  <c r="MH49" i="75"/>
  <c r="MP49" i="75"/>
  <c r="Q241" i="75" s="1"/>
  <c r="AG49" i="72"/>
  <c r="Y55" i="72"/>
  <c r="AG55" i="72"/>
  <c r="A1" i="89"/>
  <c r="E26" i="89"/>
  <c r="G46" i="93"/>
  <c r="H46" i="93" s="1"/>
  <c r="M334" i="99"/>
  <c r="S424" i="99"/>
  <c r="CQ649" i="99"/>
  <c r="HO649" i="99"/>
  <c r="KI649" i="99"/>
  <c r="LG650" i="99"/>
  <c r="AZ650" i="99"/>
  <c r="EE650" i="99"/>
  <c r="ME650" i="99"/>
  <c r="GZ651" i="99"/>
  <c r="KZ652" i="99"/>
  <c r="LD652" i="99"/>
  <c r="GL653" i="99"/>
  <c r="JR653" i="99"/>
  <c r="FV654" i="99"/>
  <c r="JT654" i="99"/>
  <c r="GI655" i="99"/>
  <c r="KQ656" i="99"/>
  <c r="JU656" i="99"/>
  <c r="BL657" i="99"/>
  <c r="HZ657" i="99"/>
  <c r="JN657" i="99"/>
  <c r="LD657" i="99"/>
  <c r="FX658" i="99"/>
  <c r="JH658" i="99"/>
  <c r="AV659" i="99"/>
  <c r="EB659" i="99"/>
  <c r="HJ659" i="99"/>
  <c r="FC662" i="99"/>
  <c r="LE663" i="99"/>
  <c r="JZ663" i="99"/>
  <c r="ID663" i="99"/>
  <c r="JT663" i="99"/>
  <c r="IA663" i="99"/>
  <c r="JS663" i="99"/>
  <c r="HZ663" i="99"/>
  <c r="KX663" i="99"/>
  <c r="KR667" i="99"/>
  <c r="JJ668" i="99"/>
  <c r="DV670" i="99"/>
  <c r="EZ670" i="99"/>
  <c r="MQ673" i="99"/>
  <c r="LR673" i="99"/>
  <c r="IO673" i="99"/>
  <c r="HJ673" i="99"/>
  <c r="GT673" i="99"/>
  <c r="GB673" i="99"/>
  <c r="LO673" i="99"/>
  <c r="IA673" i="99"/>
  <c r="HI673" i="99"/>
  <c r="GQ673" i="99"/>
  <c r="LM673" i="99"/>
  <c r="HW673" i="99"/>
  <c r="HG673" i="99"/>
  <c r="GK673" i="99"/>
  <c r="KM673" i="99"/>
  <c r="HH673" i="99"/>
  <c r="GD673" i="99"/>
  <c r="FG673" i="99"/>
  <c r="EO673" i="99"/>
  <c r="DY673" i="99"/>
  <c r="DC673" i="99"/>
  <c r="CK673" i="99"/>
  <c r="BS673" i="99"/>
  <c r="AW673" i="99"/>
  <c r="AG673" i="99"/>
  <c r="JV673" i="99"/>
  <c r="HE673" i="99"/>
  <c r="GC673" i="99"/>
  <c r="FF673" i="99"/>
  <c r="EN673" i="99"/>
  <c r="DX673" i="99"/>
  <c r="DB673" i="99"/>
  <c r="CJ673" i="99"/>
  <c r="BQ673" i="99"/>
  <c r="AV673" i="99"/>
  <c r="AF673" i="99"/>
  <c r="JF673" i="99"/>
  <c r="GY673" i="99"/>
  <c r="FU673" i="99"/>
  <c r="FE673" i="99"/>
  <c r="EM673" i="99"/>
  <c r="DQ673" i="99"/>
  <c r="CY673" i="99"/>
  <c r="CI673" i="99"/>
  <c r="BM673" i="99"/>
  <c r="AU673" i="99"/>
  <c r="AA673" i="99"/>
  <c r="HZ673" i="99"/>
  <c r="GW673" i="99"/>
  <c r="FT673" i="99"/>
  <c r="FD673" i="99"/>
  <c r="EK673" i="99"/>
  <c r="DP673" i="99"/>
  <c r="CW673" i="99"/>
  <c r="CG673" i="99"/>
  <c r="BL673" i="99"/>
  <c r="AS673" i="99"/>
  <c r="Z673" i="99"/>
  <c r="LS673" i="99"/>
  <c r="GJ673" i="99"/>
  <c r="EU673" i="99"/>
  <c r="DI673" i="99"/>
  <c r="BW673" i="99"/>
  <c r="AI673" i="99"/>
  <c r="LC673" i="99"/>
  <c r="GE673" i="99"/>
  <c r="ES673" i="99"/>
  <c r="DH673" i="99"/>
  <c r="BV673" i="99"/>
  <c r="AH673" i="99"/>
  <c r="HU673" i="99"/>
  <c r="FS673" i="99"/>
  <c r="EE673" i="99"/>
  <c r="CU673" i="99"/>
  <c r="BG673" i="99"/>
  <c r="HS673" i="99"/>
  <c r="FQ673" i="99"/>
  <c r="EC673" i="99"/>
  <c r="CT673" i="99"/>
  <c r="BF673" i="99"/>
  <c r="GO673" i="99"/>
  <c r="DM673" i="99"/>
  <c r="AP673" i="99"/>
  <c r="FO673" i="99"/>
  <c r="CM673" i="99"/>
  <c r="FN673" i="99"/>
  <c r="CL673" i="99"/>
  <c r="ME673" i="99"/>
  <c r="EY673" i="99"/>
  <c r="CA673" i="99"/>
  <c r="DO673" i="99"/>
  <c r="DC49" i="75"/>
  <c r="N109" i="75" s="1"/>
  <c r="DK49" i="75"/>
  <c r="L107" i="75" s="1"/>
  <c r="DS49" i="75"/>
  <c r="O106" i="75" s="1"/>
  <c r="EA49" i="75"/>
  <c r="M104" i="75" s="1"/>
  <c r="EI49" i="75"/>
  <c r="K157" i="75" s="1"/>
  <c r="EQ49" i="75"/>
  <c r="N158" i="75" s="1"/>
  <c r="P158" i="75" s="1"/>
  <c r="EY49" i="75"/>
  <c r="L160" i="75" s="1"/>
  <c r="FG49" i="75"/>
  <c r="O161" i="75" s="1"/>
  <c r="FO49" i="75"/>
  <c r="M163" i="75" s="1"/>
  <c r="FW49" i="75"/>
  <c r="GE49" i="75"/>
  <c r="N167" i="75" s="1"/>
  <c r="GM49" i="75"/>
  <c r="L114" i="75" s="1"/>
  <c r="GU49" i="75"/>
  <c r="HC49" i="75"/>
  <c r="M117" i="75" s="1"/>
  <c r="P117" i="75" s="1"/>
  <c r="HK49" i="75"/>
  <c r="K119" i="75" s="1"/>
  <c r="HS49" i="75"/>
  <c r="N120" i="75" s="1"/>
  <c r="IA49" i="75"/>
  <c r="II49" i="75"/>
  <c r="O136" i="75" s="1"/>
  <c r="IQ49" i="75"/>
  <c r="M142" i="75" s="1"/>
  <c r="IY49" i="75"/>
  <c r="K140" i="75" s="1"/>
  <c r="JG49" i="75"/>
  <c r="N141" i="75" s="1"/>
  <c r="JO49" i="75"/>
  <c r="L139" i="75" s="1"/>
  <c r="L150" i="75" s="1"/>
  <c r="K57" i="98" s="1"/>
  <c r="N57" i="98" s="1"/>
  <c r="JW49" i="75"/>
  <c r="O128" i="75" s="1"/>
  <c r="KE49" i="75"/>
  <c r="M129" i="75" s="1"/>
  <c r="KM49" i="75"/>
  <c r="K132" i="75" s="1"/>
  <c r="KU49" i="75"/>
  <c r="N134" i="75" s="1"/>
  <c r="LC49" i="75"/>
  <c r="L135" i="75" s="1"/>
  <c r="LK49" i="75"/>
  <c r="LS49" i="75"/>
  <c r="MA49" i="75"/>
  <c r="MI49" i="75"/>
  <c r="MQ49" i="75"/>
  <c r="X50" i="72"/>
  <c r="Z55" i="72"/>
  <c r="AH55" i="72"/>
  <c r="F13" i="85"/>
  <c r="A2" i="84"/>
  <c r="C34" i="84"/>
  <c r="F12" i="86"/>
  <c r="G50" i="93"/>
  <c r="H50" i="93" s="1"/>
  <c r="G338" i="99"/>
  <c r="E348" i="99" s="1"/>
  <c r="U382" i="99"/>
  <c r="AD433" i="99"/>
  <c r="DT649" i="99"/>
  <c r="IB649" i="99"/>
  <c r="KN649" i="99"/>
  <c r="BS650" i="99"/>
  <c r="GA650" i="99"/>
  <c r="HJ651" i="99"/>
  <c r="CX652" i="99"/>
  <c r="L653" i="99"/>
  <c r="AH653" i="99"/>
  <c r="GV653" i="99"/>
  <c r="JV653" i="99"/>
  <c r="MP653" i="99"/>
  <c r="AB654" i="99"/>
  <c r="JX654" i="99"/>
  <c r="GZ655" i="99"/>
  <c r="KD656" i="99"/>
  <c r="BU657" i="99"/>
  <c r="IA657" i="99"/>
  <c r="JO657" i="99"/>
  <c r="LL657" i="99"/>
  <c r="GB658" i="99"/>
  <c r="JL658" i="99"/>
  <c r="MT659" i="99"/>
  <c r="LC659" i="99"/>
  <c r="JZ659" i="99"/>
  <c r="IV659" i="99"/>
  <c r="IA659" i="99"/>
  <c r="GN659" i="99"/>
  <c r="EX659" i="99"/>
  <c r="DH659" i="99"/>
  <c r="BP659" i="99"/>
  <c r="Z659" i="99"/>
  <c r="MN659" i="99"/>
  <c r="KX659" i="99"/>
  <c r="JW659" i="99"/>
  <c r="IT659" i="99"/>
  <c r="HZ659" i="99"/>
  <c r="GJ659" i="99"/>
  <c r="ER659" i="99"/>
  <c r="DB659" i="99"/>
  <c r="BL659" i="99"/>
  <c r="ML659" i="99"/>
  <c r="KR659" i="99"/>
  <c r="JO659" i="99"/>
  <c r="IM659" i="99"/>
  <c r="HU659" i="99"/>
  <c r="GD659" i="99"/>
  <c r="EN659" i="99"/>
  <c r="CV659" i="99"/>
  <c r="BF659" i="99"/>
  <c r="MK659" i="99"/>
  <c r="KQ659" i="99"/>
  <c r="JN659" i="99"/>
  <c r="IL659" i="99"/>
  <c r="HP659" i="99"/>
  <c r="FX659" i="99"/>
  <c r="EH659" i="99"/>
  <c r="CR659" i="99"/>
  <c r="AZ659" i="99"/>
  <c r="LR659" i="99"/>
  <c r="BV659" i="99"/>
  <c r="FD659" i="99"/>
  <c r="IC659" i="99"/>
  <c r="KA659" i="99"/>
  <c r="FJ662" i="99"/>
  <c r="HO663" i="99"/>
  <c r="MD663" i="99"/>
  <c r="KY663" i="99"/>
  <c r="ML665" i="99"/>
  <c r="A665" i="99"/>
  <c r="JF666" i="99"/>
  <c r="IR666" i="99"/>
  <c r="IG666" i="99"/>
  <c r="KT667" i="99"/>
  <c r="JP668" i="99"/>
  <c r="MS670" i="99"/>
  <c r="LV670" i="99"/>
  <c r="KJ670" i="99"/>
  <c r="IZ670" i="99"/>
  <c r="HL670" i="99"/>
  <c r="GB670" i="99"/>
  <c r="EN670" i="99"/>
  <c r="BB670" i="99"/>
  <c r="Z670" i="99"/>
  <c r="LP670" i="99"/>
  <c r="KF670" i="99"/>
  <c r="IT670" i="99"/>
  <c r="HH670" i="99"/>
  <c r="FT670" i="99"/>
  <c r="EL670" i="99"/>
  <c r="AX670" i="99"/>
  <c r="LN670" i="99"/>
  <c r="JZ670" i="99"/>
  <c r="IN670" i="99"/>
  <c r="HD670" i="99"/>
  <c r="FR670" i="99"/>
  <c r="ED670" i="99"/>
  <c r="AT670" i="99"/>
  <c r="MT670" i="99"/>
  <c r="LF670" i="99"/>
  <c r="JX670" i="99"/>
  <c r="IJ670" i="99"/>
  <c r="GX670" i="99"/>
  <c r="FL670" i="99"/>
  <c r="EB670" i="99"/>
  <c r="AR670" i="99"/>
  <c r="KP670" i="99"/>
  <c r="HT670" i="99"/>
  <c r="ER670" i="99"/>
  <c r="AB670" i="99"/>
  <c r="MR670" i="99"/>
  <c r="JP670" i="99"/>
  <c r="GR670" i="99"/>
  <c r="CP670" i="99"/>
  <c r="MJ670" i="99"/>
  <c r="JL670" i="99"/>
  <c r="GP670" i="99"/>
  <c r="BN670" i="99"/>
  <c r="MF670" i="99"/>
  <c r="JJ670" i="99"/>
  <c r="GH670" i="99"/>
  <c r="BH670" i="99"/>
  <c r="HV670" i="99"/>
  <c r="AH670" i="99"/>
  <c r="MB670" i="99"/>
  <c r="GF670" i="99"/>
  <c r="LD670" i="99"/>
  <c r="FH670" i="99"/>
  <c r="KZ670" i="99"/>
  <c r="FB670" i="99"/>
  <c r="HX670" i="99"/>
  <c r="KB671" i="99"/>
  <c r="JJ671" i="99"/>
  <c r="JI671" i="99"/>
  <c r="IT671" i="99"/>
  <c r="KZ671" i="99"/>
  <c r="IN671" i="99"/>
  <c r="KX671" i="99"/>
  <c r="KV671" i="99"/>
  <c r="JT671" i="99"/>
  <c r="JR671" i="99"/>
  <c r="IJ671" i="99"/>
  <c r="DZ673" i="99"/>
  <c r="AA50" i="72"/>
  <c r="AA55" i="72"/>
  <c r="AI55" i="72"/>
  <c r="U381" i="99"/>
  <c r="M396" i="99"/>
  <c r="KY649" i="99"/>
  <c r="DW649" i="99"/>
  <c r="IR649" i="99"/>
  <c r="LD649" i="99"/>
  <c r="A650" i="99"/>
  <c r="CA650" i="99"/>
  <c r="JC651" i="99"/>
  <c r="AR653" i="99"/>
  <c r="HF653" i="99"/>
  <c r="JY653" i="99"/>
  <c r="AL654" i="99"/>
  <c r="HP655" i="99"/>
  <c r="CF657" i="99"/>
  <c r="IB657" i="99"/>
  <c r="JP657" i="99"/>
  <c r="LZ657" i="99"/>
  <c r="AZ658" i="99"/>
  <c r="HZ658" i="99"/>
  <c r="KF658" i="99"/>
  <c r="FH659" i="99"/>
  <c r="ID659" i="99"/>
  <c r="KB659" i="99"/>
  <c r="GE660" i="99"/>
  <c r="GD660" i="99"/>
  <c r="MD660" i="99"/>
  <c r="GB660" i="99"/>
  <c r="LN660" i="99"/>
  <c r="GA660" i="99"/>
  <c r="GP660" i="99"/>
  <c r="EF660" i="99"/>
  <c r="BK660" i="99"/>
  <c r="FZ660" i="99"/>
  <c r="EE660" i="99"/>
  <c r="AU660" i="99"/>
  <c r="FY660" i="99"/>
  <c r="ED660" i="99"/>
  <c r="AH660" i="99"/>
  <c r="FW660" i="99"/>
  <c r="EC660" i="99"/>
  <c r="EH660" i="99"/>
  <c r="BA662" i="99"/>
  <c r="GE662" i="99"/>
  <c r="EX667" i="99"/>
  <c r="JR668" i="99"/>
  <c r="IF670" i="99"/>
  <c r="EA673" i="99"/>
  <c r="AM651" i="99"/>
  <c r="CY651" i="99"/>
  <c r="FP651" i="99"/>
  <c r="IT651" i="99"/>
  <c r="BC652" i="99"/>
  <c r="ED652" i="99"/>
  <c r="GF652" i="99"/>
  <c r="IR652" i="99"/>
  <c r="KH652" i="99"/>
  <c r="BN653" i="99"/>
  <c r="ET653" i="99"/>
  <c r="IB653" i="99"/>
  <c r="JD653" i="99"/>
  <c r="KF653" i="99"/>
  <c r="BH654" i="99"/>
  <c r="EH654" i="99"/>
  <c r="GP654" i="99"/>
  <c r="IY654" i="99"/>
  <c r="KQ654" i="99"/>
  <c r="IN656" i="99"/>
  <c r="MP657" i="99"/>
  <c r="A659" i="99"/>
  <c r="AF663" i="99"/>
  <c r="BO663" i="99"/>
  <c r="CY663" i="99"/>
  <c r="FL663" i="99"/>
  <c r="EE664" i="99"/>
  <c r="KX664" i="99"/>
  <c r="HB672" i="99"/>
  <c r="ME672" i="99"/>
  <c r="HA672" i="99"/>
  <c r="MC672" i="99"/>
  <c r="GZ672" i="99"/>
  <c r="LS672" i="99"/>
  <c r="HQ672" i="99"/>
  <c r="GQ672" i="99"/>
  <c r="GJ672" i="99"/>
  <c r="AU651" i="99"/>
  <c r="DG651" i="99"/>
  <c r="FY651" i="99"/>
  <c r="GE652" i="99"/>
  <c r="BL652" i="99"/>
  <c r="EH652" i="99"/>
  <c r="GP652" i="99"/>
  <c r="IY652" i="99"/>
  <c r="KO652" i="99"/>
  <c r="EE653" i="99"/>
  <c r="BX653" i="99"/>
  <c r="FF653" i="99"/>
  <c r="ID653" i="99"/>
  <c r="JH653" i="99"/>
  <c r="KJ653" i="99"/>
  <c r="LT653" i="99"/>
  <c r="FZ654" i="99"/>
  <c r="BR654" i="99"/>
  <c r="EP654" i="99"/>
  <c r="HB654" i="99"/>
  <c r="JB654" i="99"/>
  <c r="KV654" i="99"/>
  <c r="MR656" i="99"/>
  <c r="IV656" i="99"/>
  <c r="KZ656" i="99"/>
  <c r="KB661" i="99"/>
  <c r="AH663" i="99"/>
  <c r="BR663" i="99"/>
  <c r="CZ663" i="99"/>
  <c r="EL664" i="99"/>
  <c r="EF664" i="99"/>
  <c r="GK672" i="99"/>
  <c r="JI686" i="99"/>
  <c r="MR651" i="99"/>
  <c r="BC651" i="99"/>
  <c r="DO651" i="99"/>
  <c r="GH651" i="99"/>
  <c r="JV651" i="99"/>
  <c r="KX652" i="99"/>
  <c r="BV652" i="99"/>
  <c r="EP652" i="99"/>
  <c r="HB652" i="99"/>
  <c r="JB652" i="99"/>
  <c r="KT652" i="99"/>
  <c r="MS653" i="99"/>
  <c r="LD653" i="99"/>
  <c r="CH653" i="99"/>
  <c r="FP653" i="99"/>
  <c r="II653" i="99"/>
  <c r="JJ653" i="99"/>
  <c r="KN653" i="99"/>
  <c r="MD653" i="99"/>
  <c r="LA654" i="99"/>
  <c r="CD654" i="99"/>
  <c r="EZ654" i="99"/>
  <c r="HL654" i="99"/>
  <c r="JI654" i="99"/>
  <c r="LC654" i="99"/>
  <c r="MR655" i="99"/>
  <c r="IY656" i="99"/>
  <c r="MG656" i="99"/>
  <c r="MH659" i="99"/>
  <c r="KX661" i="99"/>
  <c r="FT663" i="99"/>
  <c r="LH663" i="99"/>
  <c r="LG663" i="99"/>
  <c r="AM663" i="99"/>
  <c r="BS663" i="99"/>
  <c r="FO663" i="99"/>
  <c r="ID664" i="99"/>
  <c r="FY664" i="99"/>
  <c r="BB664" i="99"/>
  <c r="HZ664" i="99"/>
  <c r="FW664" i="99"/>
  <c r="HG664" i="99"/>
  <c r="FR664" i="99"/>
  <c r="GE664" i="99"/>
  <c r="EH664" i="99"/>
  <c r="FZ664" i="99"/>
  <c r="KL666" i="99"/>
  <c r="A672" i="99"/>
  <c r="GO672" i="99"/>
  <c r="MD651" i="99"/>
  <c r="BK651" i="99"/>
  <c r="DW651" i="99"/>
  <c r="GQ651" i="99"/>
  <c r="KE651" i="99"/>
  <c r="LX652" i="99"/>
  <c r="CE652" i="99"/>
  <c r="EZ652" i="99"/>
  <c r="HL652" i="99"/>
  <c r="JI652" i="99"/>
  <c r="LX653" i="99"/>
  <c r="CT653" i="99"/>
  <c r="FZ653" i="99"/>
  <c r="IL653" i="99"/>
  <c r="JO653" i="99"/>
  <c r="KP653" i="99"/>
  <c r="MH653" i="99"/>
  <c r="LY654" i="99"/>
  <c r="CN654" i="99"/>
  <c r="FJ654" i="99"/>
  <c r="HV654" i="99"/>
  <c r="JH656" i="99"/>
  <c r="MP656" i="99"/>
  <c r="MR663" i="99"/>
  <c r="LO663" i="99"/>
  <c r="KP663" i="99"/>
  <c r="JJ663" i="99"/>
  <c r="IN663" i="99"/>
  <c r="HH663" i="99"/>
  <c r="FY663" i="99"/>
  <c r="FF663" i="99"/>
  <c r="EP663" i="99"/>
  <c r="EA663" i="99"/>
  <c r="DK663" i="99"/>
  <c r="CR663" i="99"/>
  <c r="CB663" i="99"/>
  <c r="BL663" i="99"/>
  <c r="AT663" i="99"/>
  <c r="AD663" i="99"/>
  <c r="LN663" i="99"/>
  <c r="KJ663" i="99"/>
  <c r="JF663" i="99"/>
  <c r="IM663" i="99"/>
  <c r="GU663" i="99"/>
  <c r="FW663" i="99"/>
  <c r="FD663" i="99"/>
  <c r="EN663" i="99"/>
  <c r="DZ663" i="99"/>
  <c r="DG663" i="99"/>
  <c r="CQ663" i="99"/>
  <c r="CA663" i="99"/>
  <c r="BG663" i="99"/>
  <c r="AQ663" i="99"/>
  <c r="AA663" i="99"/>
  <c r="KB663" i="99"/>
  <c r="JD663" i="99"/>
  <c r="IL663" i="99"/>
  <c r="GI663" i="99"/>
  <c r="FS663" i="99"/>
  <c r="FC663" i="99"/>
  <c r="EM663" i="99"/>
  <c r="DX663" i="99"/>
  <c r="DF663" i="99"/>
  <c r="CP663" i="99"/>
  <c r="BZ663" i="99"/>
  <c r="BF663" i="99"/>
  <c r="AP663" i="99"/>
  <c r="Z663" i="99"/>
  <c r="KA663" i="99"/>
  <c r="JC663" i="99"/>
  <c r="IH663" i="99"/>
  <c r="GE663" i="99"/>
  <c r="FR663" i="99"/>
  <c r="FB663" i="99"/>
  <c r="EL663" i="99"/>
  <c r="DS663" i="99"/>
  <c r="DC663" i="99"/>
  <c r="CM663" i="99"/>
  <c r="BT663" i="99"/>
  <c r="BD663" i="99"/>
  <c r="AN663" i="99"/>
  <c r="AU663" i="99"/>
  <c r="CD663" i="99"/>
  <c r="DN663" i="99"/>
  <c r="EQ663" i="99"/>
  <c r="FZ663" i="99"/>
  <c r="IP663" i="99"/>
  <c r="KQ663" i="99"/>
  <c r="GA664" i="99"/>
  <c r="KN668" i="99"/>
  <c r="HC672" i="99"/>
  <c r="LQ672" i="99"/>
  <c r="MA680" i="99"/>
  <c r="JO680" i="99"/>
  <c r="GK680" i="99"/>
  <c r="DV680" i="99"/>
  <c r="CB680" i="99"/>
  <c r="AG680" i="99"/>
  <c r="IX680" i="99"/>
  <c r="FX680" i="99"/>
  <c r="DP680" i="99"/>
  <c r="BS680" i="99"/>
  <c r="AD680" i="99"/>
  <c r="IO680" i="99"/>
  <c r="FS680" i="99"/>
  <c r="DL680" i="99"/>
  <c r="BM680" i="99"/>
  <c r="Y680" i="99"/>
  <c r="LS680" i="99"/>
  <c r="IA680" i="99"/>
  <c r="FF680" i="99"/>
  <c r="DC680" i="99"/>
  <c r="BJ680" i="99"/>
  <c r="HV680" i="99"/>
  <c r="EZ680" i="99"/>
  <c r="CX680" i="99"/>
  <c r="BB680" i="99"/>
  <c r="EN680" i="99"/>
  <c r="AL680" i="99"/>
  <c r="EH680" i="99"/>
  <c r="KV680" i="99"/>
  <c r="EE680" i="99"/>
  <c r="KM680" i="99"/>
  <c r="CT680" i="99"/>
  <c r="CK680" i="99"/>
  <c r="CE680" i="99"/>
  <c r="AW680" i="99"/>
  <c r="AT680" i="99"/>
  <c r="AA661" i="99"/>
  <c r="AP661" i="99"/>
  <c r="BF661" i="99"/>
  <c r="BS661" i="99"/>
  <c r="CG661" i="99"/>
  <c r="CX661" i="99"/>
  <c r="DK661" i="99"/>
  <c r="DX661" i="99"/>
  <c r="EN661" i="99"/>
  <c r="FC661" i="99"/>
  <c r="FS661" i="99"/>
  <c r="GD661" i="99"/>
  <c r="LM661" i="99"/>
  <c r="AL665" i="99"/>
  <c r="BR665" i="99"/>
  <c r="CX665" i="99"/>
  <c r="ED665" i="99"/>
  <c r="FD665" i="99"/>
  <c r="GB665" i="99"/>
  <c r="LM665" i="99"/>
  <c r="AR666" i="99"/>
  <c r="DM666" i="99"/>
  <c r="GH666" i="99"/>
  <c r="JV666" i="99"/>
  <c r="CL668" i="99"/>
  <c r="IP668" i="99"/>
  <c r="KF668" i="99"/>
  <c r="MI669" i="99"/>
  <c r="KS669" i="99"/>
  <c r="FE669" i="99"/>
  <c r="BA669" i="99"/>
  <c r="JQ669" i="99"/>
  <c r="EG669" i="99"/>
  <c r="AY669" i="99"/>
  <c r="JO669" i="99"/>
  <c r="EC669" i="99"/>
  <c r="AW669" i="99"/>
  <c r="IQ669" i="99"/>
  <c r="DC669" i="99"/>
  <c r="AA669" i="99"/>
  <c r="FI669" i="99"/>
  <c r="MO673" i="99"/>
  <c r="A673" i="99"/>
  <c r="BS675" i="99"/>
  <c r="LY676" i="99"/>
  <c r="JJ682" i="99"/>
  <c r="IC686" i="99"/>
  <c r="P760" i="99"/>
  <c r="X1530" i="99"/>
  <c r="P1643" i="99"/>
  <c r="Q1642" i="99"/>
  <c r="Y1530" i="99"/>
  <c r="AC661" i="99"/>
  <c r="AQ661" i="99"/>
  <c r="BG661" i="99"/>
  <c r="BT661" i="99"/>
  <c r="CH661" i="99"/>
  <c r="CY661" i="99"/>
  <c r="DM661" i="99"/>
  <c r="EC661" i="99"/>
  <c r="EQ661" i="99"/>
  <c r="FD661" i="99"/>
  <c r="FT661" i="99"/>
  <c r="GE661" i="99"/>
  <c r="LN661" i="99"/>
  <c r="MM664" i="99"/>
  <c r="LG665" i="99"/>
  <c r="AM665" i="99"/>
  <c r="BS665" i="99"/>
  <c r="CY665" i="99"/>
  <c r="EE665" i="99"/>
  <c r="FE665" i="99"/>
  <c r="GD665" i="99"/>
  <c r="LK666" i="99"/>
  <c r="BA666" i="99"/>
  <c r="DV666" i="99"/>
  <c r="GR666" i="99"/>
  <c r="DB668" i="99"/>
  <c r="IT668" i="99"/>
  <c r="KL668" i="99"/>
  <c r="GK669" i="99"/>
  <c r="KW673" i="99"/>
  <c r="BU675" i="99"/>
  <c r="KB682" i="99"/>
  <c r="LI661" i="99"/>
  <c r="AD661" i="99"/>
  <c r="AU661" i="99"/>
  <c r="BI661" i="99"/>
  <c r="BV661" i="99"/>
  <c r="CL661" i="99"/>
  <c r="CZ661" i="99"/>
  <c r="DN661" i="99"/>
  <c r="ED661" i="99"/>
  <c r="ES661" i="99"/>
  <c r="FI661" i="99"/>
  <c r="FV661" i="99"/>
  <c r="IL661" i="99"/>
  <c r="MT664" i="99"/>
  <c r="AT665" i="99"/>
  <c r="BZ665" i="99"/>
  <c r="DF665" i="99"/>
  <c r="EF665" i="99"/>
  <c r="FM665" i="99"/>
  <c r="GE665" i="99"/>
  <c r="MR666" i="99"/>
  <c r="BJ666" i="99"/>
  <c r="EF666" i="99"/>
  <c r="HA666" i="99"/>
  <c r="LB666" i="99"/>
  <c r="MD668" i="99"/>
  <c r="DS668" i="99"/>
  <c r="IX668" i="99"/>
  <c r="HM669" i="99"/>
  <c r="HC676" i="99"/>
  <c r="HA676" i="99"/>
  <c r="GY676" i="99"/>
  <c r="GS676" i="99"/>
  <c r="MT682" i="99"/>
  <c r="MQ682" i="99"/>
  <c r="MN682" i="99"/>
  <c r="KW683" i="99"/>
  <c r="LA683" i="99"/>
  <c r="IV683" i="99"/>
  <c r="KG683" i="99"/>
  <c r="IO683" i="99"/>
  <c r="IK683" i="99"/>
  <c r="IG683" i="99"/>
  <c r="MR661" i="99"/>
  <c r="AF661" i="99"/>
  <c r="AV661" i="99"/>
  <c r="BJ661" i="99"/>
  <c r="BW661" i="99"/>
  <c r="CO661" i="99"/>
  <c r="DB661" i="99"/>
  <c r="DR661" i="99"/>
  <c r="EE661" i="99"/>
  <c r="ET661" i="99"/>
  <c r="FJ661" i="99"/>
  <c r="FW661" i="99"/>
  <c r="JG661" i="99"/>
  <c r="LP661" i="99"/>
  <c r="LB665" i="99"/>
  <c r="AU665" i="99"/>
  <c r="CA665" i="99"/>
  <c r="DG665" i="99"/>
  <c r="EH665" i="99"/>
  <c r="FN665" i="99"/>
  <c r="BT666" i="99"/>
  <c r="EO666" i="99"/>
  <c r="HJ666" i="99"/>
  <c r="LR666" i="99"/>
  <c r="KX668" i="99"/>
  <c r="KD668" i="99"/>
  <c r="JH668" i="99"/>
  <c r="IL668" i="99"/>
  <c r="FW668" i="99"/>
  <c r="BF668" i="99"/>
  <c r="MP668" i="99"/>
  <c r="KV668" i="99"/>
  <c r="JZ668" i="99"/>
  <c r="JF668" i="99"/>
  <c r="IJ668" i="99"/>
  <c r="FV668" i="99"/>
  <c r="AP668" i="99"/>
  <c r="ML668" i="99"/>
  <c r="KP668" i="99"/>
  <c r="JV668" i="99"/>
  <c r="IZ668" i="99"/>
  <c r="ID668" i="99"/>
  <c r="FC668" i="99"/>
  <c r="Z668" i="99"/>
  <c r="MH668" i="99"/>
  <c r="KO668" i="99"/>
  <c r="JU668" i="99"/>
  <c r="IY668" i="99"/>
  <c r="IC668" i="99"/>
  <c r="EK668" i="99"/>
  <c r="ED668" i="99"/>
  <c r="GN668" i="99"/>
  <c r="JI668" i="99"/>
  <c r="LA668" i="99"/>
  <c r="MO672" i="99"/>
  <c r="LY675" i="99"/>
  <c r="HQ675" i="99"/>
  <c r="GA675" i="99"/>
  <c r="EI675" i="99"/>
  <c r="CS675" i="99"/>
  <c r="BG675" i="99"/>
  <c r="AJ675" i="99"/>
  <c r="HO675" i="99"/>
  <c r="FW675" i="99"/>
  <c r="EG675" i="99"/>
  <c r="CQ675" i="99"/>
  <c r="BE675" i="99"/>
  <c r="AI675" i="99"/>
  <c r="LS675" i="99"/>
  <c r="HK675" i="99"/>
  <c r="FU675" i="99"/>
  <c r="EE675" i="99"/>
  <c r="CM675" i="99"/>
  <c r="BC675" i="99"/>
  <c r="AA675" i="99"/>
  <c r="LQ675" i="99"/>
  <c r="GY675" i="99"/>
  <c r="FG675" i="99"/>
  <c r="DQ675" i="99"/>
  <c r="CA675" i="99"/>
  <c r="AZ675" i="99"/>
  <c r="Y675" i="99"/>
  <c r="LO675" i="99"/>
  <c r="GU675" i="99"/>
  <c r="FE675" i="99"/>
  <c r="DO675" i="99"/>
  <c r="BW675" i="99"/>
  <c r="AY675" i="99"/>
  <c r="EY675" i="99"/>
  <c r="AQ675" i="99"/>
  <c r="KY675" i="99"/>
  <c r="EM675" i="99"/>
  <c r="AO675" i="99"/>
  <c r="IG675" i="99"/>
  <c r="DK675" i="99"/>
  <c r="AM675" i="99"/>
  <c r="HS675" i="99"/>
  <c r="DI675" i="99"/>
  <c r="FC675" i="99"/>
  <c r="LH680" i="99"/>
  <c r="LJ680" i="99"/>
  <c r="HG681" i="99"/>
  <c r="LB682" i="99"/>
  <c r="IR682" i="99"/>
  <c r="KR682" i="99"/>
  <c r="KJ685" i="99"/>
  <c r="GW686" i="99"/>
  <c r="BF686" i="99"/>
  <c r="FQ686" i="99"/>
  <c r="AT686" i="99"/>
  <c r="EX686" i="99"/>
  <c r="AJ686" i="99"/>
  <c r="EH686" i="99"/>
  <c r="Z686" i="99"/>
  <c r="DC686" i="99"/>
  <c r="CD686" i="99"/>
  <c r="BQ686" i="99"/>
  <c r="Q845" i="99"/>
  <c r="AN671" i="99"/>
  <c r="CR671" i="99"/>
  <c r="EV671" i="99"/>
  <c r="GE671" i="99"/>
  <c r="IU671" i="99"/>
  <c r="JZ671" i="99"/>
  <c r="MQ671" i="99"/>
  <c r="AC672" i="99"/>
  <c r="AP672" i="99"/>
  <c r="BF672" i="99"/>
  <c r="BT672" i="99"/>
  <c r="CG672" i="99"/>
  <c r="CW672" i="99"/>
  <c r="DJ672" i="99"/>
  <c r="DX672" i="99"/>
  <c r="EN672" i="99"/>
  <c r="FA672" i="99"/>
  <c r="FN672" i="99"/>
  <c r="GD672" i="99"/>
  <c r="GR672" i="99"/>
  <c r="HE672" i="99"/>
  <c r="HU672" i="99"/>
  <c r="LH672" i="99"/>
  <c r="LX672" i="99"/>
  <c r="MN672" i="99"/>
  <c r="LK674" i="99"/>
  <c r="LI674" i="99"/>
  <c r="HJ674" i="99"/>
  <c r="GS674" i="99"/>
  <c r="FK674" i="99"/>
  <c r="EU674" i="99"/>
  <c r="GA674" i="99"/>
  <c r="DZ674" i="99"/>
  <c r="DK674" i="99"/>
  <c r="CY674" i="99"/>
  <c r="AE674" i="99"/>
  <c r="BG674" i="99"/>
  <c r="CI674" i="99"/>
  <c r="DX674" i="99"/>
  <c r="FU674" i="99"/>
  <c r="HI674" i="99"/>
  <c r="ID682" i="99"/>
  <c r="JX682" i="99"/>
  <c r="IN685" i="99"/>
  <c r="A686" i="99"/>
  <c r="K1715" i="99"/>
  <c r="L1834" i="99"/>
  <c r="AZ671" i="99"/>
  <c r="DD671" i="99"/>
  <c r="FH671" i="99"/>
  <c r="IB671" i="99"/>
  <c r="IV671" i="99"/>
  <c r="KF671" i="99"/>
  <c r="AE672" i="99"/>
  <c r="AQ672" i="99"/>
  <c r="BG672" i="99"/>
  <c r="BU672" i="99"/>
  <c r="CI672" i="99"/>
  <c r="CY672" i="99"/>
  <c r="DK672" i="99"/>
  <c r="DY672" i="99"/>
  <c r="EO672" i="99"/>
  <c r="FC672" i="99"/>
  <c r="FO672" i="99"/>
  <c r="GE672" i="99"/>
  <c r="GS672" i="99"/>
  <c r="HG672" i="99"/>
  <c r="HW672" i="99"/>
  <c r="LI672" i="99"/>
  <c r="LY672" i="99"/>
  <c r="HW674" i="99"/>
  <c r="AN674" i="99"/>
  <c r="BQ674" i="99"/>
  <c r="CR674" i="99"/>
  <c r="DY674" i="99"/>
  <c r="FV674" i="99"/>
  <c r="HX674" i="99"/>
  <c r="EG677" i="99"/>
  <c r="DA677" i="99"/>
  <c r="BU677" i="99"/>
  <c r="AO677" i="99"/>
  <c r="JW679" i="99"/>
  <c r="IP679" i="99"/>
  <c r="JV679" i="99"/>
  <c r="IF682" i="99"/>
  <c r="JZ682" i="99"/>
  <c r="MN685" i="99"/>
  <c r="BB671" i="99"/>
  <c r="DF671" i="99"/>
  <c r="FL671" i="99"/>
  <c r="IC671" i="99"/>
  <c r="JD671" i="99"/>
  <c r="KJ671" i="99"/>
  <c r="MP672" i="99"/>
  <c r="AF672" i="99"/>
  <c r="AV672" i="99"/>
  <c r="BI672" i="99"/>
  <c r="BV672" i="99"/>
  <c r="CL672" i="99"/>
  <c r="CZ672" i="99"/>
  <c r="DM672" i="99"/>
  <c r="EC672" i="99"/>
  <c r="EP672" i="99"/>
  <c r="FD672" i="99"/>
  <c r="FT672" i="99"/>
  <c r="GG672" i="99"/>
  <c r="GT672" i="99"/>
  <c r="HJ672" i="99"/>
  <c r="HX672" i="99"/>
  <c r="LM672" i="99"/>
  <c r="LZ672" i="99"/>
  <c r="AO674" i="99"/>
  <c r="BS674" i="99"/>
  <c r="CS674" i="99"/>
  <c r="EM674" i="99"/>
  <c r="FW674" i="99"/>
  <c r="HY674" i="99"/>
  <c r="KU679" i="99"/>
  <c r="KZ682" i="99"/>
  <c r="JY683" i="99"/>
  <c r="IV685" i="99"/>
  <c r="KR685" i="99"/>
  <c r="F874" i="99"/>
  <c r="LF671" i="99"/>
  <c r="BL671" i="99"/>
  <c r="DP671" i="99"/>
  <c r="FX671" i="99"/>
  <c r="ID671" i="99"/>
  <c r="JH671" i="99"/>
  <c r="AG672" i="99"/>
  <c r="AW672" i="99"/>
  <c r="BK672" i="99"/>
  <c r="BW672" i="99"/>
  <c r="CM672" i="99"/>
  <c r="DA672" i="99"/>
  <c r="DO672" i="99"/>
  <c r="EE672" i="99"/>
  <c r="EQ672" i="99"/>
  <c r="FE672" i="99"/>
  <c r="FU672" i="99"/>
  <c r="GI672" i="99"/>
  <c r="GU672" i="99"/>
  <c r="HK672" i="99"/>
  <c r="HY672" i="99"/>
  <c r="LO672" i="99"/>
  <c r="MA672" i="99"/>
  <c r="LW673" i="99"/>
  <c r="LH673" i="99"/>
  <c r="AP674" i="99"/>
  <c r="BT674" i="99"/>
  <c r="CW674" i="99"/>
  <c r="EN674" i="99"/>
  <c r="GK674" i="99"/>
  <c r="LG674" i="99"/>
  <c r="KX679" i="99"/>
  <c r="KU682" i="99"/>
  <c r="KE682" i="99"/>
  <c r="JO682" i="99"/>
  <c r="IY682" i="99"/>
  <c r="II682" i="99"/>
  <c r="IT682" i="99"/>
  <c r="KN682" i="99"/>
  <c r="A685" i="99"/>
  <c r="KZ685" i="99"/>
  <c r="IM675" i="99"/>
  <c r="K845" i="99"/>
  <c r="AF674" i="99"/>
  <c r="AV674" i="99"/>
  <c r="BI674" i="99"/>
  <c r="BV674" i="99"/>
  <c r="CL674" i="99"/>
  <c r="CZ674" i="99"/>
  <c r="DM674" i="99"/>
  <c r="EF674" i="99"/>
  <c r="EV674" i="99"/>
  <c r="FL674" i="99"/>
  <c r="GD674" i="99"/>
  <c r="GT674" i="99"/>
  <c r="HK674" i="99"/>
  <c r="AE676" i="99"/>
  <c r="BG676" i="99"/>
  <c r="DC676" i="99"/>
  <c r="EW676" i="99"/>
  <c r="GE676" i="99"/>
  <c r="HG676" i="99"/>
  <c r="LQ676" i="99"/>
  <c r="EL678" i="99"/>
  <c r="IH678" i="99"/>
  <c r="LW678" i="99"/>
  <c r="AO679" i="99"/>
  <c r="EF679" i="99"/>
  <c r="GR679" i="99"/>
  <c r="IW679" i="99"/>
  <c r="KC679" i="99"/>
  <c r="LW679" i="99"/>
  <c r="AH681" i="99"/>
  <c r="BL681" i="99"/>
  <c r="CN681" i="99"/>
  <c r="DO681" i="99"/>
  <c r="ET681" i="99"/>
  <c r="FZ681" i="99"/>
  <c r="ID681" i="99"/>
  <c r="FW682" i="99"/>
  <c r="IJ682" i="99"/>
  <c r="IZ682" i="99"/>
  <c r="JP682" i="99"/>
  <c r="KF682" i="99"/>
  <c r="KV682" i="99"/>
  <c r="MR682" i="99"/>
  <c r="AL683" i="99"/>
  <c r="CB683" i="99"/>
  <c r="EA683" i="99"/>
  <c r="JD683" i="99"/>
  <c r="MS683" i="99"/>
  <c r="BQ684" i="99"/>
  <c r="JD684" i="99"/>
  <c r="AF685" i="99"/>
  <c r="DH685" i="99"/>
  <c r="GB685" i="99"/>
  <c r="JD685" i="99"/>
  <c r="LX685" i="99"/>
  <c r="M841" i="99"/>
  <c r="M1329" i="99"/>
  <c r="A674" i="99"/>
  <c r="AG674" i="99"/>
  <c r="AW674" i="99"/>
  <c r="BK674" i="99"/>
  <c r="BW674" i="99"/>
  <c r="CM674" i="99"/>
  <c r="DA674" i="99"/>
  <c r="DO674" i="99"/>
  <c r="EG674" i="99"/>
  <c r="EW674" i="99"/>
  <c r="FM674" i="99"/>
  <c r="GE674" i="99"/>
  <c r="GU674" i="99"/>
  <c r="HQ674" i="99"/>
  <c r="MB674" i="99"/>
  <c r="AI676" i="99"/>
  <c r="BK676" i="99"/>
  <c r="DS676" i="99"/>
  <c r="FC676" i="99"/>
  <c r="GI676" i="99"/>
  <c r="HI676" i="99"/>
  <c r="LW676" i="99"/>
  <c r="IN678" i="99"/>
  <c r="BD679" i="99"/>
  <c r="EG679" i="99"/>
  <c r="GX679" i="99"/>
  <c r="IX679" i="99"/>
  <c r="KI679" i="99"/>
  <c r="AM681" i="99"/>
  <c r="BN681" i="99"/>
  <c r="CR681" i="99"/>
  <c r="DT681" i="99"/>
  <c r="EU681" i="99"/>
  <c r="GA681" i="99"/>
  <c r="LJ681" i="99"/>
  <c r="FX682" i="99"/>
  <c r="IL682" i="99"/>
  <c r="JB682" i="99"/>
  <c r="JR682" i="99"/>
  <c r="KH682" i="99"/>
  <c r="KX682" i="99"/>
  <c r="EL683" i="99"/>
  <c r="AN683" i="99"/>
  <c r="CE683" i="99"/>
  <c r="ED683" i="99"/>
  <c r="JL683" i="99"/>
  <c r="CK684" i="99"/>
  <c r="AV685" i="99"/>
  <c r="DP685" i="99"/>
  <c r="GJ685" i="99"/>
  <c r="JL685" i="99"/>
  <c r="MF685" i="99"/>
  <c r="M823" i="99"/>
  <c r="L827" i="99"/>
  <c r="K832" i="99"/>
  <c r="H845" i="99"/>
  <c r="P845" i="99"/>
  <c r="H854" i="99"/>
  <c r="L869" i="99"/>
  <c r="L1584" i="99"/>
  <c r="AK674" i="99"/>
  <c r="AX674" i="99"/>
  <c r="BL674" i="99"/>
  <c r="CB674" i="99"/>
  <c r="CO674" i="99"/>
  <c r="DB674" i="99"/>
  <c r="DR674" i="99"/>
  <c r="EH674" i="99"/>
  <c r="EX674" i="99"/>
  <c r="FS674" i="99"/>
  <c r="GI674" i="99"/>
  <c r="GY674" i="99"/>
  <c r="HS674" i="99"/>
  <c r="ME674" i="99"/>
  <c r="DQ676" i="99"/>
  <c r="AM676" i="99"/>
  <c r="BM676" i="99"/>
  <c r="DY676" i="99"/>
  <c r="FG676" i="99"/>
  <c r="GK676" i="99"/>
  <c r="HO676" i="99"/>
  <c r="IX678" i="99"/>
  <c r="MP679" i="99"/>
  <c r="BK679" i="99"/>
  <c r="EL679" i="99"/>
  <c r="HR679" i="99"/>
  <c r="JC679" i="99"/>
  <c r="KK679" i="99"/>
  <c r="ML679" i="99"/>
  <c r="FX681" i="99"/>
  <c r="AQ681" i="99"/>
  <c r="BS681" i="99"/>
  <c r="CT681" i="99"/>
  <c r="DX681" i="99"/>
  <c r="EZ681" i="99"/>
  <c r="GB681" i="99"/>
  <c r="HT682" i="99"/>
  <c r="HZ682" i="99"/>
  <c r="IN682" i="99"/>
  <c r="JD682" i="99"/>
  <c r="JT682" i="99"/>
  <c r="KJ682" i="99"/>
  <c r="AV683" i="99"/>
  <c r="CM683" i="99"/>
  <c r="FB683" i="99"/>
  <c r="JQ683" i="99"/>
  <c r="KZ684" i="99"/>
  <c r="DH684" i="99"/>
  <c r="BD685" i="99"/>
  <c r="DX685" i="99"/>
  <c r="GZ685" i="99"/>
  <c r="JT685" i="99"/>
  <c r="N823" i="99"/>
  <c r="M827" i="99"/>
  <c r="L832" i="99"/>
  <c r="K836" i="99"/>
  <c r="I854" i="99"/>
  <c r="F865" i="99"/>
  <c r="Q866" i="99" s="1"/>
  <c r="N1443" i="99"/>
  <c r="AM674" i="99"/>
  <c r="AY674" i="99"/>
  <c r="BM674" i="99"/>
  <c r="CC674" i="99"/>
  <c r="CQ674" i="99"/>
  <c r="DC674" i="99"/>
  <c r="DS674" i="99"/>
  <c r="EI674" i="99"/>
  <c r="EY674" i="99"/>
  <c r="FT674" i="99"/>
  <c r="GJ674" i="99"/>
  <c r="GZ674" i="99"/>
  <c r="ME676" i="99"/>
  <c r="AO676" i="99"/>
  <c r="BO676" i="99"/>
  <c r="EG676" i="99"/>
  <c r="FK676" i="99"/>
  <c r="GM676" i="99"/>
  <c r="HS676" i="99"/>
  <c r="BT679" i="99"/>
  <c r="EQ679" i="99"/>
  <c r="HY679" i="99"/>
  <c r="JJ679" i="99"/>
  <c r="KP679" i="99"/>
  <c r="MQ679" i="99"/>
  <c r="AR681" i="99"/>
  <c r="BW681" i="99"/>
  <c r="CY681" i="99"/>
  <c r="DZ681" i="99"/>
  <c r="FD681" i="99"/>
  <c r="MS682" i="99"/>
  <c r="GE682" i="99"/>
  <c r="IA682" i="99"/>
  <c r="IQ682" i="99"/>
  <c r="JG682" i="99"/>
  <c r="JW682" i="99"/>
  <c r="KM682" i="99"/>
  <c r="LC682" i="99"/>
  <c r="BD683" i="99"/>
  <c r="CU683" i="99"/>
  <c r="FZ683" i="99"/>
  <c r="EC684" i="99"/>
  <c r="MM685" i="99"/>
  <c r="BL685" i="99"/>
  <c r="EF685" i="99"/>
  <c r="HH685" i="99"/>
  <c r="KB685" i="99"/>
  <c r="LH686" i="99"/>
  <c r="DR686" i="99"/>
  <c r="O823" i="99"/>
  <c r="N827" i="99"/>
  <c r="M832" i="99"/>
  <c r="F885" i="99"/>
  <c r="M1932" i="99"/>
  <c r="L1329" i="99"/>
  <c r="Q228" i="75"/>
  <c r="F130" i="78" s="1"/>
  <c r="L885" i="99"/>
  <c r="J402" i="99"/>
  <c r="J177" i="78"/>
  <c r="H27" i="95"/>
  <c r="B397" i="91"/>
  <c r="E1015" i="99"/>
  <c r="B43" i="87"/>
  <c r="B442" i="91"/>
  <c r="F26" i="95"/>
  <c r="B414" i="91"/>
  <c r="I27" i="95"/>
  <c r="G29" i="95"/>
  <c r="B221" i="91"/>
  <c r="E31" i="95"/>
  <c r="B29" i="91"/>
  <c r="P62" i="75"/>
  <c r="P66" i="75"/>
  <c r="P165" i="75"/>
  <c r="K118" i="75"/>
  <c r="L121" i="75"/>
  <c r="N60" i="98"/>
  <c r="M60" i="98"/>
  <c r="K154" i="75"/>
  <c r="E26" i="95"/>
  <c r="B425" i="91"/>
  <c r="P57" i="75"/>
  <c r="I30" i="95"/>
  <c r="B176" i="91"/>
  <c r="O152" i="75"/>
  <c r="K67" i="98" s="1"/>
  <c r="O125" i="75"/>
  <c r="G922" i="99"/>
  <c r="G930" i="99" s="1"/>
  <c r="G35" i="74"/>
  <c r="E15" i="87"/>
  <c r="AD127" i="78"/>
  <c r="B459" i="91"/>
  <c r="G26" i="95"/>
  <c r="B266" i="91"/>
  <c r="E28" i="95"/>
  <c r="P59" i="75"/>
  <c r="H29" i="95"/>
  <c r="B238" i="91"/>
  <c r="B46" i="91"/>
  <c r="F31" i="95"/>
  <c r="P96" i="75"/>
  <c r="P106" i="75"/>
  <c r="K115" i="75"/>
  <c r="P136" i="75"/>
  <c r="K147" i="75"/>
  <c r="N148" i="75"/>
  <c r="K52" i="98" s="1"/>
  <c r="I58" i="98"/>
  <c r="H58" i="98"/>
  <c r="P128" i="75"/>
  <c r="K151" i="75"/>
  <c r="K127" i="75"/>
  <c r="B204" i="91"/>
  <c r="F29" i="95"/>
  <c r="P138" i="75"/>
  <c r="Q240" i="75"/>
  <c r="P240" i="75"/>
  <c r="E987" i="99"/>
  <c r="E994" i="99" s="1"/>
  <c r="H33" i="87"/>
  <c r="E99" i="74"/>
  <c r="B504" i="91"/>
  <c r="E25" i="95"/>
  <c r="H26" i="95"/>
  <c r="B476" i="91"/>
  <c r="F28" i="95"/>
  <c r="B283" i="91"/>
  <c r="I29" i="95"/>
  <c r="B255" i="91"/>
  <c r="B63" i="91"/>
  <c r="G31" i="95"/>
  <c r="P99" i="75"/>
  <c r="P167" i="75"/>
  <c r="L115" i="75"/>
  <c r="N121" i="75"/>
  <c r="P141" i="75"/>
  <c r="I59" i="98"/>
  <c r="H59" i="98"/>
  <c r="L151" i="75"/>
  <c r="F64" i="98" s="1"/>
  <c r="I74" i="98"/>
  <c r="H74" i="98"/>
  <c r="N72" i="98"/>
  <c r="M72" i="98"/>
  <c r="P134" i="75"/>
  <c r="Q239" i="75"/>
  <c r="P239" i="75"/>
  <c r="I26" i="95"/>
  <c r="B493" i="91"/>
  <c r="B80" i="91"/>
  <c r="H31" i="95"/>
  <c r="M147" i="75"/>
  <c r="F51" i="98" s="1"/>
  <c r="P142" i="75"/>
  <c r="M151" i="75"/>
  <c r="F65" i="98" s="1"/>
  <c r="M127" i="75"/>
  <c r="P129" i="75"/>
  <c r="K125" i="75"/>
  <c r="K152" i="75"/>
  <c r="N59" i="98"/>
  <c r="M59" i="98"/>
  <c r="C956" i="99"/>
  <c r="C964" i="99" s="1"/>
  <c r="C69" i="74"/>
  <c r="K21" i="87"/>
  <c r="F25" i="95"/>
  <c r="B521" i="91"/>
  <c r="L63" i="75"/>
  <c r="G28" i="95"/>
  <c r="B300" i="91"/>
  <c r="P104" i="75"/>
  <c r="J657" i="99"/>
  <c r="L657" i="99" s="1"/>
  <c r="L19" i="75"/>
  <c r="M19" i="75" s="1"/>
  <c r="B538" i="91"/>
  <c r="G25" i="95"/>
  <c r="M63" i="75"/>
  <c r="P58" i="75"/>
  <c r="B317" i="91"/>
  <c r="H28" i="95"/>
  <c r="F30" i="95"/>
  <c r="B125" i="91"/>
  <c r="B97" i="91"/>
  <c r="I31" i="95"/>
  <c r="O100" i="75"/>
  <c r="P107" i="75"/>
  <c r="P160" i="75"/>
  <c r="P114" i="75"/>
  <c r="O118" i="75"/>
  <c r="I52" i="98"/>
  <c r="H52" i="98"/>
  <c r="K150" i="75"/>
  <c r="N151" i="75"/>
  <c r="F66" i="98" s="1"/>
  <c r="N74" i="98"/>
  <c r="M74" i="98"/>
  <c r="P135" i="75"/>
  <c r="I60" i="98"/>
  <c r="H60" i="98"/>
  <c r="J660" i="99"/>
  <c r="L22" i="75"/>
  <c r="M22" i="75" s="1"/>
  <c r="F27" i="95"/>
  <c r="B363" i="91"/>
  <c r="B334" i="91"/>
  <c r="I28" i="95"/>
  <c r="G30" i="95"/>
  <c r="B142" i="91"/>
  <c r="P64" i="75"/>
  <c r="Q165" i="75" s="1"/>
  <c r="M111" i="75"/>
  <c r="O115" i="75"/>
  <c r="P119" i="75"/>
  <c r="O147" i="75"/>
  <c r="F53" i="98" s="1"/>
  <c r="P140" i="75"/>
  <c r="O151" i="75"/>
  <c r="F67" i="98" s="1"/>
  <c r="O127" i="75"/>
  <c r="M152" i="75"/>
  <c r="K65" i="98" s="1"/>
  <c r="P132" i="75"/>
  <c r="B108" i="91"/>
  <c r="E30" i="95"/>
  <c r="P61" i="75"/>
  <c r="I25" i="95"/>
  <c r="B572" i="91"/>
  <c r="O63" i="75"/>
  <c r="B380" i="91"/>
  <c r="G27" i="95"/>
  <c r="B187" i="91"/>
  <c r="E29" i="95"/>
  <c r="P60" i="75"/>
  <c r="H30" i="95"/>
  <c r="B159" i="91"/>
  <c r="P105" i="75"/>
  <c r="L164" i="75"/>
  <c r="L166" i="75" s="1"/>
  <c r="L168" i="75" s="1"/>
  <c r="P162" i="75"/>
  <c r="P137" i="75"/>
  <c r="K148" i="75"/>
  <c r="M58" i="98"/>
  <c r="P130" i="75"/>
  <c r="K153" i="75"/>
  <c r="N152" i="75"/>
  <c r="K66" i="98" s="1"/>
  <c r="N125" i="75"/>
  <c r="K60" i="84"/>
  <c r="I60" i="84"/>
  <c r="G60" i="84"/>
  <c r="E29" i="74"/>
  <c r="H968" i="99"/>
  <c r="F51" i="86"/>
  <c r="F969" i="99"/>
  <c r="D52" i="86"/>
  <c r="E123" i="74"/>
  <c r="F121" i="74"/>
  <c r="G91" i="74"/>
  <c r="F59" i="74"/>
  <c r="F27" i="74"/>
  <c r="E121" i="74"/>
  <c r="F91" i="74"/>
  <c r="E59" i="74"/>
  <c r="E27" i="74"/>
  <c r="P283" i="99"/>
  <c r="D121" i="74"/>
  <c r="E91" i="74"/>
  <c r="D59" i="74"/>
  <c r="D27" i="74"/>
  <c r="C121" i="74"/>
  <c r="D91" i="74"/>
  <c r="K59" i="74"/>
  <c r="C59" i="74"/>
  <c r="K27" i="74"/>
  <c r="C27" i="74"/>
  <c r="B121" i="74"/>
  <c r="K91" i="74"/>
  <c r="C91" i="74"/>
  <c r="J59" i="74"/>
  <c r="B59" i="74"/>
  <c r="J27" i="74"/>
  <c r="B27" i="74"/>
  <c r="I91" i="74"/>
  <c r="L20" i="75"/>
  <c r="M20" i="75" s="1"/>
  <c r="J23" i="75"/>
  <c r="L28" i="75"/>
  <c r="M28" i="75" s="1"/>
  <c r="L36" i="75"/>
  <c r="M36" i="75" s="1"/>
  <c r="L44" i="75"/>
  <c r="M44" i="75" s="1"/>
  <c r="H27" i="74"/>
  <c r="K29" i="74"/>
  <c r="G59" i="74"/>
  <c r="B61" i="74"/>
  <c r="O1661" i="99"/>
  <c r="L170" i="72"/>
  <c r="O168" i="72"/>
  <c r="Q170" i="72"/>
  <c r="C68" i="84"/>
  <c r="A508" i="99"/>
  <c r="J37" i="99"/>
  <c r="A244" i="99"/>
  <c r="D4" i="96"/>
  <c r="D4" i="93"/>
  <c r="C44" i="90"/>
  <c r="A1" i="73"/>
  <c r="A1" i="72"/>
  <c r="A2" i="74"/>
  <c r="N2" i="74" s="1"/>
  <c r="P50" i="98"/>
  <c r="P284" i="99"/>
  <c r="D92" i="74"/>
  <c r="K60" i="74"/>
  <c r="C60" i="74"/>
  <c r="D28" i="74"/>
  <c r="K92" i="74"/>
  <c r="C92" i="74"/>
  <c r="J60" i="74"/>
  <c r="B60" i="74"/>
  <c r="K28" i="74"/>
  <c r="C28" i="74"/>
  <c r="F122" i="74"/>
  <c r="J92" i="74"/>
  <c r="B92" i="74"/>
  <c r="I60" i="74"/>
  <c r="J28" i="74"/>
  <c r="B28" i="74"/>
  <c r="E122" i="74"/>
  <c r="I92" i="74"/>
  <c r="H60" i="74"/>
  <c r="I28" i="74"/>
  <c r="D122" i="74"/>
  <c r="H92" i="74"/>
  <c r="G60" i="74"/>
  <c r="H28" i="74"/>
  <c r="B122" i="74"/>
  <c r="F92" i="74"/>
  <c r="L294" i="99"/>
  <c r="L293" i="99"/>
  <c r="N293" i="99" s="1"/>
  <c r="I17" i="99"/>
  <c r="M67" i="85"/>
  <c r="C21" i="86"/>
  <c r="I3" i="76"/>
  <c r="J18" i="75"/>
  <c r="L31" i="75"/>
  <c r="M31" i="75" s="1"/>
  <c r="L39" i="75"/>
  <c r="M39" i="75" s="1"/>
  <c r="L47" i="75"/>
  <c r="M47" i="75" s="1"/>
  <c r="AT1540" i="99"/>
  <c r="I27" i="74"/>
  <c r="B926" i="99"/>
  <c r="B53" i="82"/>
  <c r="H59" i="74"/>
  <c r="C90" i="74"/>
  <c r="G92" i="74"/>
  <c r="P65" i="72"/>
  <c r="P63" i="72"/>
  <c r="P1832" i="99"/>
  <c r="AI53" i="72"/>
  <c r="AH53" i="72"/>
  <c r="AG53" i="72"/>
  <c r="AF53" i="72"/>
  <c r="AE53" i="72"/>
  <c r="AD53" i="72"/>
  <c r="J22" i="96"/>
  <c r="J20" i="96"/>
  <c r="J51" i="93"/>
  <c r="J38" i="93"/>
  <c r="J35" i="93"/>
  <c r="J44" i="93"/>
  <c r="K44" i="93" s="1"/>
  <c r="J41" i="93"/>
  <c r="J50" i="93"/>
  <c r="K50" i="93" s="1"/>
  <c r="J47" i="93"/>
  <c r="J34" i="93"/>
  <c r="K34" i="93" s="1"/>
  <c r="J40" i="93"/>
  <c r="J37" i="93"/>
  <c r="J46" i="93"/>
  <c r="K46" i="93" s="1"/>
  <c r="J43" i="93"/>
  <c r="J49" i="93"/>
  <c r="J36" i="93"/>
  <c r="K36" i="93" s="1"/>
  <c r="J33" i="93"/>
  <c r="J42" i="93"/>
  <c r="J39" i="93"/>
  <c r="J48" i="93"/>
  <c r="K48" i="93" s="1"/>
  <c r="P285" i="99"/>
  <c r="B123" i="74"/>
  <c r="I93" i="74"/>
  <c r="H61" i="74"/>
  <c r="J29" i="74"/>
  <c r="B29" i="74"/>
  <c r="H93" i="74"/>
  <c r="G61" i="74"/>
  <c r="I29" i="74"/>
  <c r="G93" i="74"/>
  <c r="F61" i="74"/>
  <c r="H29" i="74"/>
  <c r="F93" i="74"/>
  <c r="E61" i="74"/>
  <c r="G29" i="74"/>
  <c r="F123" i="74"/>
  <c r="E93" i="74"/>
  <c r="D61" i="74"/>
  <c r="F29" i="74"/>
  <c r="D123" i="74"/>
  <c r="K93" i="74"/>
  <c r="C93" i="74"/>
  <c r="F55" i="78"/>
  <c r="J21" i="75"/>
  <c r="O1874" i="99"/>
  <c r="O383" i="72"/>
  <c r="K59" i="84"/>
  <c r="I59" i="84"/>
  <c r="G59" i="84"/>
  <c r="E59" i="84"/>
  <c r="B26" i="74"/>
  <c r="E28" i="74"/>
  <c r="C926" i="99"/>
  <c r="D31" i="74"/>
  <c r="B58" i="74"/>
  <c r="I59" i="74"/>
  <c r="I61" i="74"/>
  <c r="E90" i="74"/>
  <c r="B93" i="74"/>
  <c r="P1764" i="99"/>
  <c r="AH48" i="72"/>
  <c r="AG48" i="72"/>
  <c r="AF48" i="72"/>
  <c r="AE48" i="72"/>
  <c r="AD48" i="72"/>
  <c r="P282" i="99"/>
  <c r="D120" i="74"/>
  <c r="J90" i="74"/>
  <c r="B90" i="74"/>
  <c r="I58" i="74"/>
  <c r="H26" i="74"/>
  <c r="C120" i="74"/>
  <c r="I90" i="74"/>
  <c r="H58" i="74"/>
  <c r="G26" i="74"/>
  <c r="B120" i="74"/>
  <c r="H90" i="74"/>
  <c r="G58" i="74"/>
  <c r="F26" i="74"/>
  <c r="G90" i="74"/>
  <c r="F58" i="74"/>
  <c r="E26" i="74"/>
  <c r="F90" i="74"/>
  <c r="E58" i="74"/>
  <c r="D26" i="74"/>
  <c r="F120" i="74"/>
  <c r="D90" i="74"/>
  <c r="N32" i="66"/>
  <c r="N39" i="99" s="1"/>
  <c r="F126" i="78"/>
  <c r="A1" i="77"/>
  <c r="L29" i="75"/>
  <c r="M29" i="75" s="1"/>
  <c r="L37" i="75"/>
  <c r="M37" i="75" s="1"/>
  <c r="L45" i="75"/>
  <c r="M45" i="75" s="1"/>
  <c r="I61" i="84"/>
  <c r="G61" i="84"/>
  <c r="E61" i="84"/>
  <c r="C26" i="74"/>
  <c r="F28" i="74"/>
  <c r="C58" i="74"/>
  <c r="J61" i="74"/>
  <c r="K90" i="74"/>
  <c r="D93" i="74"/>
  <c r="P1800" i="99"/>
  <c r="AI50" i="72"/>
  <c r="AH50" i="72"/>
  <c r="AG50" i="72"/>
  <c r="AD50" i="72"/>
  <c r="E11" i="86"/>
  <c r="MP652" i="99"/>
  <c r="A652" i="99"/>
  <c r="MN652" i="99"/>
  <c r="ML652" i="99"/>
  <c r="MK652" i="99"/>
  <c r="MS652" i="99"/>
  <c r="MI652" i="99"/>
  <c r="MR652" i="99"/>
  <c r="MH652" i="99"/>
  <c r="MQ652" i="99"/>
  <c r="MF652" i="99"/>
  <c r="MT652" i="99"/>
  <c r="M652" i="99"/>
  <c r="MJ652" i="99"/>
  <c r="M654" i="99"/>
  <c r="O32" i="66"/>
  <c r="A2" i="75"/>
  <c r="T2" i="75" s="1"/>
  <c r="I26" i="74"/>
  <c r="G28" i="74"/>
  <c r="K936" i="99"/>
  <c r="F31" i="86"/>
  <c r="D58" i="74"/>
  <c r="D60" i="74"/>
  <c r="K61" i="74"/>
  <c r="B91" i="74"/>
  <c r="J93" i="74"/>
  <c r="O1868" i="99"/>
  <c r="A761" i="99"/>
  <c r="E27" i="72"/>
  <c r="A123" i="75"/>
  <c r="R377" i="72"/>
  <c r="P63" i="98"/>
  <c r="P1895" i="99"/>
  <c r="AG56" i="72"/>
  <c r="AF56" i="72"/>
  <c r="AE56" i="72"/>
  <c r="AD56" i="72"/>
  <c r="AI56" i="72"/>
  <c r="H8" i="84"/>
  <c r="F14" i="85" s="1"/>
  <c r="A3" i="83" s="1"/>
  <c r="A3" i="99"/>
  <c r="I594" i="99"/>
  <c r="A2" i="67"/>
  <c r="A2" i="78"/>
  <c r="W2" i="78" s="1"/>
  <c r="L43" i="75"/>
  <c r="M43" i="75" s="1"/>
  <c r="B913" i="99"/>
  <c r="C55" i="84"/>
  <c r="J26" i="74"/>
  <c r="C29" i="74"/>
  <c r="D936" i="99"/>
  <c r="F11" i="86"/>
  <c r="B937" i="99"/>
  <c r="D12" i="86"/>
  <c r="C12" i="86"/>
  <c r="J937" i="99"/>
  <c r="E32" i="86"/>
  <c r="J58" i="74"/>
  <c r="E60" i="74"/>
  <c r="F968" i="99"/>
  <c r="D51" i="86"/>
  <c r="D969" i="99"/>
  <c r="I32" i="86"/>
  <c r="H91" i="74"/>
  <c r="C122" i="74"/>
  <c r="O1593" i="99"/>
  <c r="X37" i="72"/>
  <c r="P103" i="72"/>
  <c r="E13" i="72"/>
  <c r="P1695" i="99"/>
  <c r="AE42" i="72"/>
  <c r="AD42" i="72"/>
  <c r="C141" i="90"/>
  <c r="B5" i="92"/>
  <c r="E60" i="84"/>
  <c r="D32" i="86"/>
  <c r="H1094" i="99"/>
  <c r="Q868" i="99"/>
  <c r="H15" i="84"/>
  <c r="F18" i="85" s="1"/>
  <c r="H56" i="73"/>
  <c r="A3" i="79"/>
  <c r="A2" i="66"/>
  <c r="B58" i="78"/>
  <c r="L30" i="75"/>
  <c r="M30" i="75" s="1"/>
  <c r="L46" i="75"/>
  <c r="M46" i="75" s="1"/>
  <c r="K26" i="74"/>
  <c r="D29" i="74"/>
  <c r="E936" i="99"/>
  <c r="G11" i="86"/>
  <c r="C937" i="99"/>
  <c r="E12" i="86"/>
  <c r="K937" i="99"/>
  <c r="F32" i="86"/>
  <c r="K58" i="74"/>
  <c r="F60" i="74"/>
  <c r="J91" i="74"/>
  <c r="C123" i="74"/>
  <c r="AI48" i="72"/>
  <c r="K61" i="84"/>
  <c r="H56" i="86"/>
  <c r="G36" i="86"/>
  <c r="G56" i="86"/>
  <c r="F36" i="86"/>
  <c r="F56" i="86"/>
  <c r="E36" i="86"/>
  <c r="E56" i="86"/>
  <c r="D56" i="86"/>
  <c r="C56" i="86"/>
  <c r="I36" i="86"/>
  <c r="G16" i="86"/>
  <c r="AF47" i="72"/>
  <c r="AE1528" i="99"/>
  <c r="AD1528" i="99"/>
  <c r="L433" i="72"/>
  <c r="G12" i="86"/>
  <c r="D31" i="86"/>
  <c r="C52" i="86"/>
  <c r="E67" i="89"/>
  <c r="J454" i="99"/>
  <c r="K613" i="99"/>
  <c r="K630" i="99"/>
  <c r="MR650" i="99"/>
  <c r="MJ650" i="99"/>
  <c r="LD650" i="99"/>
  <c r="KV650" i="99"/>
  <c r="KN650" i="99"/>
  <c r="KF650" i="99"/>
  <c r="JX650" i="99"/>
  <c r="JP650" i="99"/>
  <c r="JH650" i="99"/>
  <c r="IZ650" i="99"/>
  <c r="IR650" i="99"/>
  <c r="IJ650" i="99"/>
  <c r="IM650" i="99"/>
  <c r="KY650" i="99"/>
  <c r="AH1538" i="99"/>
  <c r="AF1538" i="99"/>
  <c r="AE1538" i="99"/>
  <c r="AD1538" i="99"/>
  <c r="AI1538" i="99"/>
  <c r="AG1538" i="99"/>
  <c r="L1924" i="99"/>
  <c r="AC1551" i="99"/>
  <c r="AB1551" i="99"/>
  <c r="AA1551" i="99"/>
  <c r="Z1551" i="99"/>
  <c r="H12" i="86"/>
  <c r="E31" i="86"/>
  <c r="E5" i="89"/>
  <c r="E15" i="89"/>
  <c r="G102" i="90"/>
  <c r="G40" i="93"/>
  <c r="H40" i="93" s="1"/>
  <c r="H1" i="91"/>
  <c r="N294" i="99"/>
  <c r="S346" i="99"/>
  <c r="J492" i="99"/>
  <c r="L613" i="99"/>
  <c r="L630" i="99"/>
  <c r="LK649" i="99"/>
  <c r="AJ649" i="99"/>
  <c r="BP649" i="99"/>
  <c r="CV649" i="99"/>
  <c r="EB649" i="99"/>
  <c r="FH649" i="99"/>
  <c r="GN649" i="99"/>
  <c r="HT649" i="99"/>
  <c r="IZ649" i="99"/>
  <c r="KF649" i="99"/>
  <c r="LL649" i="99"/>
  <c r="MR649" i="99"/>
  <c r="L650" i="99"/>
  <c r="IU650" i="99"/>
  <c r="JL651" i="99"/>
  <c r="MH651" i="99"/>
  <c r="Q63" i="98"/>
  <c r="Z47" i="72"/>
  <c r="AH47" i="72"/>
  <c r="AA60" i="72"/>
  <c r="P130" i="72"/>
  <c r="L251" i="72"/>
  <c r="Q267" i="72"/>
  <c r="AC1540" i="99"/>
  <c r="AB1540" i="99"/>
  <c r="Z1540" i="99"/>
  <c r="Y1540" i="99"/>
  <c r="X1540" i="99"/>
  <c r="AA1540" i="99"/>
  <c r="J317" i="72"/>
  <c r="AH1551" i="99"/>
  <c r="AF1551" i="99"/>
  <c r="AI1551" i="99"/>
  <c r="AG1551" i="99"/>
  <c r="H11" i="86"/>
  <c r="I12" i="86"/>
  <c r="G32" i="86"/>
  <c r="C51" i="86"/>
  <c r="E52" i="86"/>
  <c r="D64" i="93"/>
  <c r="H2" i="91"/>
  <c r="J338" i="99"/>
  <c r="G351" i="99"/>
  <c r="G353" i="99" s="1"/>
  <c r="M630" i="99"/>
  <c r="AM649" i="99"/>
  <c r="BS649" i="99"/>
  <c r="CY649" i="99"/>
  <c r="EE649" i="99"/>
  <c r="FK649" i="99"/>
  <c r="GQ649" i="99"/>
  <c r="HW649" i="99"/>
  <c r="LO649" i="99"/>
  <c r="JC650" i="99"/>
  <c r="A654" i="99"/>
  <c r="MK654" i="99"/>
  <c r="MJ654" i="99"/>
  <c r="MI654" i="99"/>
  <c r="MH654" i="99"/>
  <c r="MR654" i="99"/>
  <c r="MG654" i="99"/>
  <c r="MQ654" i="99"/>
  <c r="MP654" i="99"/>
  <c r="MN654" i="99"/>
  <c r="AA47" i="72"/>
  <c r="AI47" i="72"/>
  <c r="AB60" i="72"/>
  <c r="L1742" i="99"/>
  <c r="X1537" i="99"/>
  <c r="AE1540" i="99"/>
  <c r="AI1540" i="99"/>
  <c r="AH1540" i="99"/>
  <c r="AG1540" i="99"/>
  <c r="AD1540" i="99"/>
  <c r="AF1540" i="99"/>
  <c r="C29" i="84"/>
  <c r="I11" i="86"/>
  <c r="O12" i="86"/>
  <c r="G31" i="86"/>
  <c r="H32" i="86"/>
  <c r="F52" i="86"/>
  <c r="I58" i="93"/>
  <c r="K64" i="93" s="1"/>
  <c r="K69" i="93" s="1"/>
  <c r="G334" i="99"/>
  <c r="J346" i="99"/>
  <c r="M346" i="99"/>
  <c r="P469" i="99"/>
  <c r="P473" i="99" s="1"/>
  <c r="AR649" i="99"/>
  <c r="BX649" i="99"/>
  <c r="DD649" i="99"/>
  <c r="EJ649" i="99"/>
  <c r="FP649" i="99"/>
  <c r="GV649" i="99"/>
  <c r="LT649" i="99"/>
  <c r="JK650" i="99"/>
  <c r="D14" i="74"/>
  <c r="E23" i="72"/>
  <c r="E31" i="72"/>
  <c r="AD43" i="72"/>
  <c r="AB47" i="72"/>
  <c r="Z49" i="72"/>
  <c r="AH49" i="72"/>
  <c r="Y53" i="72"/>
  <c r="AC60" i="72"/>
  <c r="O112" i="72"/>
  <c r="O137" i="72"/>
  <c r="P168" i="72"/>
  <c r="L265" i="72"/>
  <c r="L273" i="72"/>
  <c r="AC1546" i="99"/>
  <c r="AB1546" i="99"/>
  <c r="L1887" i="99"/>
  <c r="Y1546" i="99"/>
  <c r="X1546" i="99"/>
  <c r="Z1546" i="99"/>
  <c r="AA1546" i="99"/>
  <c r="F15" i="85"/>
  <c r="C58" i="84"/>
  <c r="H31" i="86"/>
  <c r="E51" i="86"/>
  <c r="G52" i="86"/>
  <c r="A2" i="90"/>
  <c r="D59" i="96"/>
  <c r="G38" i="93"/>
  <c r="H38" i="93" s="1"/>
  <c r="S383" i="99"/>
  <c r="U423" i="99"/>
  <c r="AD434" i="99"/>
  <c r="AU649" i="99"/>
  <c r="CA649" i="99"/>
  <c r="DG649" i="99"/>
  <c r="EM649" i="99"/>
  <c r="FS649" i="99"/>
  <c r="GY649" i="99"/>
  <c r="IE649" i="99"/>
  <c r="JK649" i="99"/>
  <c r="KQ649" i="99"/>
  <c r="LW649" i="99"/>
  <c r="MQ650" i="99"/>
  <c r="JS650" i="99"/>
  <c r="LC651" i="99"/>
  <c r="KT651" i="99"/>
  <c r="KJ651" i="99"/>
  <c r="KA651" i="99"/>
  <c r="JR651" i="99"/>
  <c r="JI651" i="99"/>
  <c r="IZ651" i="99"/>
  <c r="IQ651" i="99"/>
  <c r="IH651" i="99"/>
  <c r="KN651" i="99"/>
  <c r="C22" i="74"/>
  <c r="C44" i="74"/>
  <c r="C939" i="99" s="1"/>
  <c r="N1376" i="99"/>
  <c r="AC47" i="72"/>
  <c r="AA49" i="72"/>
  <c r="AI49" i="72"/>
  <c r="Z53" i="72"/>
  <c r="AF60" i="72"/>
  <c r="L204" i="72"/>
  <c r="X1534" i="99"/>
  <c r="R1715" i="99"/>
  <c r="L1756" i="99"/>
  <c r="Q1756" i="99"/>
  <c r="O273" i="72"/>
  <c r="K341" i="72"/>
  <c r="AE1546" i="99"/>
  <c r="AI1546" i="99"/>
  <c r="AH1546" i="99"/>
  <c r="AG1546" i="99"/>
  <c r="AF1546" i="99"/>
  <c r="AD1546" i="99"/>
  <c r="Q409" i="72"/>
  <c r="C1" i="86"/>
  <c r="C11" i="86"/>
  <c r="I31" i="86"/>
  <c r="H52" i="86"/>
  <c r="E172" i="90"/>
  <c r="B64" i="93"/>
  <c r="S328" i="99"/>
  <c r="M328" i="99"/>
  <c r="P351" i="99"/>
  <c r="M499" i="99"/>
  <c r="J501" i="99"/>
  <c r="E418" i="99" s="1"/>
  <c r="J418" i="99" s="1"/>
  <c r="AZ649" i="99"/>
  <c r="CF649" i="99"/>
  <c r="DL649" i="99"/>
  <c r="ER649" i="99"/>
  <c r="FX649" i="99"/>
  <c r="HD649" i="99"/>
  <c r="IJ649" i="99"/>
  <c r="JP649" i="99"/>
  <c r="KV649" i="99"/>
  <c r="MB649" i="99"/>
  <c r="MB650" i="99"/>
  <c r="LT650" i="99"/>
  <c r="LL650" i="99"/>
  <c r="HT650" i="99"/>
  <c r="HL650" i="99"/>
  <c r="HD650" i="99"/>
  <c r="GV650" i="99"/>
  <c r="GN650" i="99"/>
  <c r="GF650" i="99"/>
  <c r="FX650" i="99"/>
  <c r="FP650" i="99"/>
  <c r="FH650" i="99"/>
  <c r="EZ650" i="99"/>
  <c r="ER650" i="99"/>
  <c r="EJ650" i="99"/>
  <c r="EB650" i="99"/>
  <c r="DT650" i="99"/>
  <c r="DL650" i="99"/>
  <c r="AR650" i="99"/>
  <c r="BX650" i="99"/>
  <c r="DD650" i="99"/>
  <c r="FK650" i="99"/>
  <c r="HW650" i="99"/>
  <c r="KA650" i="99"/>
  <c r="L651" i="99"/>
  <c r="M651" i="99" s="1"/>
  <c r="KW651" i="99"/>
  <c r="X46" i="72"/>
  <c r="AD47" i="72"/>
  <c r="Y1533" i="99"/>
  <c r="X1533" i="99"/>
  <c r="L1695" i="99"/>
  <c r="AB1541" i="99"/>
  <c r="X1541" i="99"/>
  <c r="AC1541" i="99"/>
  <c r="AA1541" i="99"/>
  <c r="AB1544" i="99"/>
  <c r="AA1544" i="99"/>
  <c r="AC1544" i="99"/>
  <c r="Z1544" i="99"/>
  <c r="Y1544" i="99"/>
  <c r="X1544" i="99"/>
  <c r="O404" i="72"/>
  <c r="D36" i="86"/>
  <c r="D11" i="86"/>
  <c r="C32" i="86"/>
  <c r="G51" i="86"/>
  <c r="C28" i="90"/>
  <c r="G5" i="92" s="1"/>
  <c r="G51" i="93"/>
  <c r="H51" i="93" s="1"/>
  <c r="G49" i="93"/>
  <c r="H49" i="93" s="1"/>
  <c r="G47" i="93"/>
  <c r="H47" i="93" s="1"/>
  <c r="G45" i="93"/>
  <c r="H45" i="93" s="1"/>
  <c r="K45" i="93" s="1"/>
  <c r="G43" i="93"/>
  <c r="H43" i="93" s="1"/>
  <c r="G41" i="93"/>
  <c r="H41" i="93" s="1"/>
  <c r="G39" i="93"/>
  <c r="H39" i="93" s="1"/>
  <c r="G37" i="93"/>
  <c r="H37" i="93" s="1"/>
  <c r="G35" i="93"/>
  <c r="H35" i="93" s="1"/>
  <c r="G33" i="93"/>
  <c r="H33" i="93" s="1"/>
  <c r="H52" i="93" s="1"/>
  <c r="F54" i="89" s="1"/>
  <c r="D33" i="90" s="1"/>
  <c r="G42" i="93"/>
  <c r="H42" i="93" s="1"/>
  <c r="E350" i="99"/>
  <c r="P396" i="99"/>
  <c r="G413" i="99"/>
  <c r="I613" i="99"/>
  <c r="I630" i="99"/>
  <c r="BC649" i="99"/>
  <c r="CI649" i="99"/>
  <c r="DO649" i="99"/>
  <c r="EU649" i="99"/>
  <c r="GA649" i="99"/>
  <c r="HG649" i="99"/>
  <c r="IM649" i="99"/>
  <c r="JS649" i="99"/>
  <c r="M650" i="99"/>
  <c r="KI650" i="99"/>
  <c r="A651" i="99"/>
  <c r="IK651" i="99"/>
  <c r="LF651" i="99"/>
  <c r="AB651" i="99"/>
  <c r="AJ651" i="99"/>
  <c r="AR651" i="99"/>
  <c r="AZ651" i="99"/>
  <c r="BH651" i="99"/>
  <c r="BP651" i="99"/>
  <c r="BX651" i="99"/>
  <c r="CF651" i="99"/>
  <c r="CN651" i="99"/>
  <c r="CV651" i="99"/>
  <c r="DD651" i="99"/>
  <c r="DL651" i="99"/>
  <c r="DT651" i="99"/>
  <c r="EB651" i="99"/>
  <c r="EK651" i="99"/>
  <c r="ET651" i="99"/>
  <c r="FC651" i="99"/>
  <c r="FL651" i="99"/>
  <c r="FV651" i="99"/>
  <c r="GE651" i="99"/>
  <c r="GN651" i="99"/>
  <c r="GW651" i="99"/>
  <c r="HF651" i="99"/>
  <c r="HO651" i="99"/>
  <c r="HX651" i="99"/>
  <c r="LL651" i="99"/>
  <c r="LU651" i="99"/>
  <c r="LI652" i="99"/>
  <c r="LG652" i="99"/>
  <c r="FS652" i="99"/>
  <c r="FK652" i="99"/>
  <c r="FC652" i="99"/>
  <c r="EU652" i="99"/>
  <c r="EM652" i="99"/>
  <c r="DW652" i="99"/>
  <c r="DO652" i="99"/>
  <c r="DG652" i="99"/>
  <c r="CY652" i="99"/>
  <c r="CQ652" i="99"/>
  <c r="X652" i="99"/>
  <c r="AH652" i="99"/>
  <c r="AQ652" i="99"/>
  <c r="AZ652" i="99"/>
  <c r="BI652" i="99"/>
  <c r="BR652" i="99"/>
  <c r="CA652" i="99"/>
  <c r="CJ652" i="99"/>
  <c r="CU652" i="99"/>
  <c r="DE652" i="99"/>
  <c r="DP652" i="99"/>
  <c r="EA652" i="99"/>
  <c r="EK652" i="99"/>
  <c r="EV652" i="99"/>
  <c r="FG652" i="99"/>
  <c r="FQ652" i="99"/>
  <c r="GM652" i="99"/>
  <c r="GW652" i="99"/>
  <c r="HH652" i="99"/>
  <c r="HS652" i="99"/>
  <c r="LK652" i="99"/>
  <c r="LU652" i="99"/>
  <c r="AC653" i="99"/>
  <c r="AN653" i="99"/>
  <c r="AY653" i="99"/>
  <c r="BI653" i="99"/>
  <c r="BT653" i="99"/>
  <c r="CE653" i="99"/>
  <c r="CO653" i="99"/>
  <c r="CZ653" i="99"/>
  <c r="DK653" i="99"/>
  <c r="DU653" i="99"/>
  <c r="EF653" i="99"/>
  <c r="EQ653" i="99"/>
  <c r="FA653" i="99"/>
  <c r="FL653" i="99"/>
  <c r="FW653" i="99"/>
  <c r="GG653" i="99"/>
  <c r="GR653" i="99"/>
  <c r="HC653" i="99"/>
  <c r="HM653" i="99"/>
  <c r="HX653" i="99"/>
  <c r="LP653" i="99"/>
  <c r="MA653" i="99"/>
  <c r="LK654" i="99"/>
  <c r="CY654" i="99"/>
  <c r="CQ654" i="99"/>
  <c r="CI654" i="99"/>
  <c r="CA654" i="99"/>
  <c r="BS654" i="99"/>
  <c r="BK654" i="99"/>
  <c r="BC654" i="99"/>
  <c r="AU654" i="99"/>
  <c r="AM654" i="99"/>
  <c r="AE654" i="99"/>
  <c r="X654" i="99"/>
  <c r="AI654" i="99"/>
  <c r="AS654" i="99"/>
  <c r="BD654" i="99"/>
  <c r="BO654" i="99"/>
  <c r="BY654" i="99"/>
  <c r="CJ654" i="99"/>
  <c r="CU654" i="99"/>
  <c r="DE654" i="99"/>
  <c r="DP654" i="99"/>
  <c r="EA654" i="99"/>
  <c r="EK654" i="99"/>
  <c r="EV654" i="99"/>
  <c r="FG654" i="99"/>
  <c r="FQ654" i="99"/>
  <c r="GM654" i="99"/>
  <c r="GW654" i="99"/>
  <c r="HH654" i="99"/>
  <c r="HS654" i="99"/>
  <c r="LP654" i="99"/>
  <c r="MA654" i="99"/>
  <c r="M655" i="99"/>
  <c r="AF655" i="99"/>
  <c r="AR655" i="99"/>
  <c r="BH655" i="99"/>
  <c r="BV655" i="99"/>
  <c r="CJ655" i="99"/>
  <c r="CZ655" i="99"/>
  <c r="DL655" i="99"/>
  <c r="EB655" i="99"/>
  <c r="ER655" i="99"/>
  <c r="FL655" i="99"/>
  <c r="GA655" i="99"/>
  <c r="GS655" i="99"/>
  <c r="HJ655" i="99"/>
  <c r="IP655" i="99"/>
  <c r="JF655" i="99"/>
  <c r="JX655" i="99"/>
  <c r="KM655" i="99"/>
  <c r="LG655" i="99"/>
  <c r="LX655" i="99"/>
  <c r="AH656" i="99"/>
  <c r="BD656" i="99"/>
  <c r="BX656" i="99"/>
  <c r="CT656" i="99"/>
  <c r="DP656" i="99"/>
  <c r="EJ656" i="99"/>
  <c r="FF656" i="99"/>
  <c r="GV656" i="99"/>
  <c r="HR656" i="99"/>
  <c r="LT656" i="99"/>
  <c r="AC649" i="99"/>
  <c r="AK649" i="99"/>
  <c r="AS649" i="99"/>
  <c r="BA649" i="99"/>
  <c r="BI649" i="99"/>
  <c r="BQ649" i="99"/>
  <c r="BY649" i="99"/>
  <c r="CG649" i="99"/>
  <c r="CO649" i="99"/>
  <c r="CW649" i="99"/>
  <c r="DE649" i="99"/>
  <c r="DM649" i="99"/>
  <c r="DU649" i="99"/>
  <c r="EC649" i="99"/>
  <c r="EK649" i="99"/>
  <c r="ES649" i="99"/>
  <c r="FA649" i="99"/>
  <c r="FI649" i="99"/>
  <c r="FQ649" i="99"/>
  <c r="FY649" i="99"/>
  <c r="GG649" i="99"/>
  <c r="GO649" i="99"/>
  <c r="GW649" i="99"/>
  <c r="HE649" i="99"/>
  <c r="HM649" i="99"/>
  <c r="HU649" i="99"/>
  <c r="IC649" i="99"/>
  <c r="IK649" i="99"/>
  <c r="IS649" i="99"/>
  <c r="JA649" i="99"/>
  <c r="JI649" i="99"/>
  <c r="JQ649" i="99"/>
  <c r="JY649" i="99"/>
  <c r="KG649" i="99"/>
  <c r="KO649" i="99"/>
  <c r="KW649" i="99"/>
  <c r="LE649" i="99"/>
  <c r="LM649" i="99"/>
  <c r="LU649" i="99"/>
  <c r="MC649" i="99"/>
  <c r="MK649" i="99"/>
  <c r="MS649" i="99"/>
  <c r="AC650" i="99"/>
  <c r="AK650" i="99"/>
  <c r="AS650" i="99"/>
  <c r="BA650" i="99"/>
  <c r="BI650" i="99"/>
  <c r="BQ650" i="99"/>
  <c r="BY650" i="99"/>
  <c r="CG650" i="99"/>
  <c r="CO650" i="99"/>
  <c r="CW650" i="99"/>
  <c r="DE650" i="99"/>
  <c r="DM650" i="99"/>
  <c r="DU650" i="99"/>
  <c r="EC650" i="99"/>
  <c r="EK650" i="99"/>
  <c r="ES650" i="99"/>
  <c r="FA650" i="99"/>
  <c r="FI650" i="99"/>
  <c r="FQ650" i="99"/>
  <c r="FY650" i="99"/>
  <c r="GG650" i="99"/>
  <c r="GO650" i="99"/>
  <c r="GW650" i="99"/>
  <c r="HE650" i="99"/>
  <c r="HM650" i="99"/>
  <c r="HU650" i="99"/>
  <c r="IC650" i="99"/>
  <c r="IK650" i="99"/>
  <c r="IS650" i="99"/>
  <c r="JA650" i="99"/>
  <c r="JI650" i="99"/>
  <c r="JQ650" i="99"/>
  <c r="JY650" i="99"/>
  <c r="KG650" i="99"/>
  <c r="KO650" i="99"/>
  <c r="KW650" i="99"/>
  <c r="LE650" i="99"/>
  <c r="LM650" i="99"/>
  <c r="LU650" i="99"/>
  <c r="MC650" i="99"/>
  <c r="MK650" i="99"/>
  <c r="MS650" i="99"/>
  <c r="AC651" i="99"/>
  <c r="AK651" i="99"/>
  <c r="AS651" i="99"/>
  <c r="BA651" i="99"/>
  <c r="BI651" i="99"/>
  <c r="BQ651" i="99"/>
  <c r="BY651" i="99"/>
  <c r="CG651" i="99"/>
  <c r="CO651" i="99"/>
  <c r="CW651" i="99"/>
  <c r="DE651" i="99"/>
  <c r="DM651" i="99"/>
  <c r="DU651" i="99"/>
  <c r="EC651" i="99"/>
  <c r="EL651" i="99"/>
  <c r="EU651" i="99"/>
  <c r="FD651" i="99"/>
  <c r="FN651" i="99"/>
  <c r="FW651" i="99"/>
  <c r="GF651" i="99"/>
  <c r="GO651" i="99"/>
  <c r="GX651" i="99"/>
  <c r="HG651" i="99"/>
  <c r="HP651" i="99"/>
  <c r="HZ651" i="99"/>
  <c r="II651" i="99"/>
  <c r="IR651" i="99"/>
  <c r="JA651" i="99"/>
  <c r="JJ651" i="99"/>
  <c r="JS651" i="99"/>
  <c r="KB651" i="99"/>
  <c r="KL651" i="99"/>
  <c r="KU651" i="99"/>
  <c r="LD651" i="99"/>
  <c r="LM651" i="99"/>
  <c r="LV651" i="99"/>
  <c r="ME651" i="99"/>
  <c r="MN651" i="99"/>
  <c r="MO652" i="99"/>
  <c r="Z652" i="99"/>
  <c r="AI652" i="99"/>
  <c r="AR652" i="99"/>
  <c r="BA652" i="99"/>
  <c r="BJ652" i="99"/>
  <c r="BS652" i="99"/>
  <c r="CB652" i="99"/>
  <c r="CL652" i="99"/>
  <c r="CV652" i="99"/>
  <c r="DF652" i="99"/>
  <c r="DR652" i="99"/>
  <c r="EB652" i="99"/>
  <c r="EL652" i="99"/>
  <c r="EX652" i="99"/>
  <c r="FH652" i="99"/>
  <c r="FR652" i="99"/>
  <c r="GD652" i="99"/>
  <c r="GN652" i="99"/>
  <c r="GX652" i="99"/>
  <c r="HJ652" i="99"/>
  <c r="HT652" i="99"/>
  <c r="ID652" i="99"/>
  <c r="IP652" i="99"/>
  <c r="IZ652" i="99"/>
  <c r="JJ652" i="99"/>
  <c r="JV652" i="99"/>
  <c r="KF652" i="99"/>
  <c r="KP652" i="99"/>
  <c r="LB652" i="99"/>
  <c r="LL652" i="99"/>
  <c r="LV652" i="99"/>
  <c r="AD653" i="99"/>
  <c r="AP653" i="99"/>
  <c r="AZ653" i="99"/>
  <c r="BJ653" i="99"/>
  <c r="BV653" i="99"/>
  <c r="CF653" i="99"/>
  <c r="CP653" i="99"/>
  <c r="DB653" i="99"/>
  <c r="DL653" i="99"/>
  <c r="DV653" i="99"/>
  <c r="EH653" i="99"/>
  <c r="ER653" i="99"/>
  <c r="FB653" i="99"/>
  <c r="FN653" i="99"/>
  <c r="FX653" i="99"/>
  <c r="GH653" i="99"/>
  <c r="GT653" i="99"/>
  <c r="HD653" i="99"/>
  <c r="HN653" i="99"/>
  <c r="HZ653" i="99"/>
  <c r="IJ653" i="99"/>
  <c r="IT653" i="99"/>
  <c r="JF653" i="99"/>
  <c r="JP653" i="99"/>
  <c r="JZ653" i="99"/>
  <c r="KL653" i="99"/>
  <c r="KV653" i="99"/>
  <c r="LF653" i="99"/>
  <c r="LR653" i="99"/>
  <c r="MB653" i="99"/>
  <c r="ML653" i="99"/>
  <c r="MM654" i="99"/>
  <c r="Z654" i="99"/>
  <c r="AJ654" i="99"/>
  <c r="AT654" i="99"/>
  <c r="BF654" i="99"/>
  <c r="BP654" i="99"/>
  <c r="BZ654" i="99"/>
  <c r="CL654" i="99"/>
  <c r="CV654" i="99"/>
  <c r="DF654" i="99"/>
  <c r="DR654" i="99"/>
  <c r="EB654" i="99"/>
  <c r="EL654" i="99"/>
  <c r="EX654" i="99"/>
  <c r="FH654" i="99"/>
  <c r="FR654" i="99"/>
  <c r="GD654" i="99"/>
  <c r="GN654" i="99"/>
  <c r="GX654" i="99"/>
  <c r="HJ654" i="99"/>
  <c r="HT654" i="99"/>
  <c r="ID654" i="99"/>
  <c r="IP654" i="99"/>
  <c r="IZ654" i="99"/>
  <c r="JJ654" i="99"/>
  <c r="JV654" i="99"/>
  <c r="KF654" i="99"/>
  <c r="KR654" i="99"/>
  <c r="LE654" i="99"/>
  <c r="LQ654" i="99"/>
  <c r="MB654" i="99"/>
  <c r="AG655" i="99"/>
  <c r="AV655" i="99"/>
  <c r="BK655" i="99"/>
  <c r="BW655" i="99"/>
  <c r="CL655" i="99"/>
  <c r="DA655" i="99"/>
  <c r="DO655" i="99"/>
  <c r="EF655" i="99"/>
  <c r="EU655" i="99"/>
  <c r="FM655" i="99"/>
  <c r="GD655" i="99"/>
  <c r="GT655" i="99"/>
  <c r="HL655" i="99"/>
  <c r="IR655" i="99"/>
  <c r="JG655" i="99"/>
  <c r="KA655" i="99"/>
  <c r="KR655" i="99"/>
  <c r="LH655" i="99"/>
  <c r="LZ655" i="99"/>
  <c r="AI656" i="99"/>
  <c r="BE656" i="99"/>
  <c r="CA656" i="99"/>
  <c r="DQ656" i="99"/>
  <c r="EM656" i="99"/>
  <c r="FG656" i="99"/>
  <c r="GC656" i="99"/>
  <c r="GY656" i="99"/>
  <c r="HS656" i="99"/>
  <c r="IO656" i="99"/>
  <c r="JK656" i="99"/>
  <c r="KE656" i="99"/>
  <c r="LA656" i="99"/>
  <c r="LW656" i="99"/>
  <c r="MQ656" i="99"/>
  <c r="Z657" i="99"/>
  <c r="AV657" i="99"/>
  <c r="BP657" i="99"/>
  <c r="CL657" i="99"/>
  <c r="DH657" i="99"/>
  <c r="EB657" i="99"/>
  <c r="EX657" i="99"/>
  <c r="FT657" i="99"/>
  <c r="GN657" i="99"/>
  <c r="HJ657" i="99"/>
  <c r="LG657" i="99"/>
  <c r="MA657" i="99"/>
  <c r="LK658" i="99"/>
  <c r="LJ658" i="99"/>
  <c r="LI658" i="99"/>
  <c r="LG658" i="99"/>
  <c r="Z658" i="99"/>
  <c r="BD658" i="99"/>
  <c r="CF658" i="99"/>
  <c r="DH658" i="99"/>
  <c r="EJ658" i="99"/>
  <c r="FN658" i="99"/>
  <c r="GN658" i="99"/>
  <c r="HR658" i="99"/>
  <c r="LL658" i="99"/>
  <c r="LF660" i="99"/>
  <c r="KU660" i="99"/>
  <c r="KJ660" i="99"/>
  <c r="JZ660" i="99"/>
  <c r="JO660" i="99"/>
  <c r="JD660" i="99"/>
  <c r="IT660" i="99"/>
  <c r="II660" i="99"/>
  <c r="LE660" i="99"/>
  <c r="KT660" i="99"/>
  <c r="KI660" i="99"/>
  <c r="JY660" i="99"/>
  <c r="JN660" i="99"/>
  <c r="JC660" i="99"/>
  <c r="IS660" i="99"/>
  <c r="IH660" i="99"/>
  <c r="MH660" i="99"/>
  <c r="KQ660" i="99"/>
  <c r="KD660" i="99"/>
  <c r="JQ660" i="99"/>
  <c r="JA660" i="99"/>
  <c r="IM660" i="99"/>
  <c r="HZ660" i="99"/>
  <c r="MT660" i="99"/>
  <c r="MF660" i="99"/>
  <c r="LC660" i="99"/>
  <c r="KP660" i="99"/>
  <c r="KB660" i="99"/>
  <c r="JL660" i="99"/>
  <c r="IY660" i="99"/>
  <c r="IL660" i="99"/>
  <c r="MS660" i="99"/>
  <c r="LB660" i="99"/>
  <c r="KO660" i="99"/>
  <c r="KA660" i="99"/>
  <c r="JK660" i="99"/>
  <c r="IX660" i="99"/>
  <c r="IK660" i="99"/>
  <c r="MP660" i="99"/>
  <c r="KY660" i="99"/>
  <c r="KL660" i="99"/>
  <c r="JV660" i="99"/>
  <c r="JI660" i="99"/>
  <c r="IU660" i="99"/>
  <c r="IE660" i="99"/>
  <c r="MN660" i="99"/>
  <c r="KX660" i="99"/>
  <c r="KH660" i="99"/>
  <c r="JT660" i="99"/>
  <c r="JG660" i="99"/>
  <c r="IQ660" i="99"/>
  <c r="ID660" i="99"/>
  <c r="MM660" i="99"/>
  <c r="KW660" i="99"/>
  <c r="KG660" i="99"/>
  <c r="JS660" i="99"/>
  <c r="JF660" i="99"/>
  <c r="IP660" i="99"/>
  <c r="IC660" i="99"/>
  <c r="MI660" i="99"/>
  <c r="KR660" i="99"/>
  <c r="KE660" i="99"/>
  <c r="JR660" i="99"/>
  <c r="JB660" i="99"/>
  <c r="IN660" i="99"/>
  <c r="IA660" i="99"/>
  <c r="KM660" i="99"/>
  <c r="LV661" i="99"/>
  <c r="HS661" i="99"/>
  <c r="HH661" i="99"/>
  <c r="GX661" i="99"/>
  <c r="GM661" i="99"/>
  <c r="ME661" i="99"/>
  <c r="LU661" i="99"/>
  <c r="HR661" i="99"/>
  <c r="HG661" i="99"/>
  <c r="GW661" i="99"/>
  <c r="GL661" i="99"/>
  <c r="MC661" i="99"/>
  <c r="LR661" i="99"/>
  <c r="HO661" i="99"/>
  <c r="HE661" i="99"/>
  <c r="GT661" i="99"/>
  <c r="GI661" i="99"/>
  <c r="MA661" i="99"/>
  <c r="HX661" i="99"/>
  <c r="HN661" i="99"/>
  <c r="HC661" i="99"/>
  <c r="GR661" i="99"/>
  <c r="GH661" i="99"/>
  <c r="LZ661" i="99"/>
  <c r="HW661" i="99"/>
  <c r="HM661" i="99"/>
  <c r="HB661" i="99"/>
  <c r="GQ661" i="99"/>
  <c r="GG661" i="99"/>
  <c r="LX661" i="99"/>
  <c r="HV661" i="99"/>
  <c r="HK661" i="99"/>
  <c r="GZ661" i="99"/>
  <c r="GP661" i="99"/>
  <c r="HJ661" i="99"/>
  <c r="HF661" i="99"/>
  <c r="GY661" i="99"/>
  <c r="MN661" i="99"/>
  <c r="GO661" i="99"/>
  <c r="MD661" i="99"/>
  <c r="GJ661" i="99"/>
  <c r="LW661" i="99"/>
  <c r="HU661" i="99"/>
  <c r="LS661" i="99"/>
  <c r="HP661" i="99"/>
  <c r="A423" i="99"/>
  <c r="AD649" i="99"/>
  <c r="AL649" i="99"/>
  <c r="AT649" i="99"/>
  <c r="BB649" i="99"/>
  <c r="BJ649" i="99"/>
  <c r="BR649" i="99"/>
  <c r="BZ649" i="99"/>
  <c r="CH649" i="99"/>
  <c r="CP649" i="99"/>
  <c r="CX649" i="99"/>
  <c r="DF649" i="99"/>
  <c r="DN649" i="99"/>
  <c r="DV649" i="99"/>
  <c r="ED649" i="99"/>
  <c r="EL649" i="99"/>
  <c r="ET649" i="99"/>
  <c r="FB649" i="99"/>
  <c r="FJ649" i="99"/>
  <c r="FR649" i="99"/>
  <c r="FZ649" i="99"/>
  <c r="GH649" i="99"/>
  <c r="GP649" i="99"/>
  <c r="GX649" i="99"/>
  <c r="HF649" i="99"/>
  <c r="HN649" i="99"/>
  <c r="HV649" i="99"/>
  <c r="ID649" i="99"/>
  <c r="IL649" i="99"/>
  <c r="IT649" i="99"/>
  <c r="JB649" i="99"/>
  <c r="JJ649" i="99"/>
  <c r="JR649" i="99"/>
  <c r="JZ649" i="99"/>
  <c r="KH649" i="99"/>
  <c r="KP649" i="99"/>
  <c r="KX649" i="99"/>
  <c r="LF649" i="99"/>
  <c r="LN649" i="99"/>
  <c r="LV649" i="99"/>
  <c r="MD649" i="99"/>
  <c r="ML649" i="99"/>
  <c r="MT649" i="99"/>
  <c r="AD650" i="99"/>
  <c r="AL650" i="99"/>
  <c r="AT650" i="99"/>
  <c r="BB650" i="99"/>
  <c r="BJ650" i="99"/>
  <c r="BR650" i="99"/>
  <c r="BZ650" i="99"/>
  <c r="CH650" i="99"/>
  <c r="CP650" i="99"/>
  <c r="CX650" i="99"/>
  <c r="DF650" i="99"/>
  <c r="DN650" i="99"/>
  <c r="DV650" i="99"/>
  <c r="ED650" i="99"/>
  <c r="EL650" i="99"/>
  <c r="ET650" i="99"/>
  <c r="FB650" i="99"/>
  <c r="FJ650" i="99"/>
  <c r="FR650" i="99"/>
  <c r="FZ650" i="99"/>
  <c r="GH650" i="99"/>
  <c r="GP650" i="99"/>
  <c r="GX650" i="99"/>
  <c r="HF650" i="99"/>
  <c r="HN650" i="99"/>
  <c r="HV650" i="99"/>
  <c r="ID650" i="99"/>
  <c r="IL650" i="99"/>
  <c r="IT650" i="99"/>
  <c r="JB650" i="99"/>
  <c r="JJ650" i="99"/>
  <c r="JR650" i="99"/>
  <c r="JZ650" i="99"/>
  <c r="KH650" i="99"/>
  <c r="KP650" i="99"/>
  <c r="KX650" i="99"/>
  <c r="LF650" i="99"/>
  <c r="LN650" i="99"/>
  <c r="LV650" i="99"/>
  <c r="MD650" i="99"/>
  <c r="ML650" i="99"/>
  <c r="MT650" i="99"/>
  <c r="AD651" i="99"/>
  <c r="AL651" i="99"/>
  <c r="AT651" i="99"/>
  <c r="BB651" i="99"/>
  <c r="BJ651" i="99"/>
  <c r="BR651" i="99"/>
  <c r="BZ651" i="99"/>
  <c r="CH651" i="99"/>
  <c r="CP651" i="99"/>
  <c r="CX651" i="99"/>
  <c r="DF651" i="99"/>
  <c r="DN651" i="99"/>
  <c r="DV651" i="99"/>
  <c r="ED651" i="99"/>
  <c r="EM651" i="99"/>
  <c r="EV651" i="99"/>
  <c r="FF651" i="99"/>
  <c r="FO651" i="99"/>
  <c r="FX651" i="99"/>
  <c r="GG651" i="99"/>
  <c r="GP651" i="99"/>
  <c r="GY651" i="99"/>
  <c r="HH651" i="99"/>
  <c r="HR651" i="99"/>
  <c r="IA651" i="99"/>
  <c r="IJ651" i="99"/>
  <c r="IS651" i="99"/>
  <c r="JB651" i="99"/>
  <c r="JK651" i="99"/>
  <c r="JT651" i="99"/>
  <c r="KD651" i="99"/>
  <c r="KM651" i="99"/>
  <c r="KV651" i="99"/>
  <c r="LE651" i="99"/>
  <c r="LN651" i="99"/>
  <c r="LW651" i="99"/>
  <c r="MF651" i="99"/>
  <c r="MP651" i="99"/>
  <c r="AA652" i="99"/>
  <c r="AJ652" i="99"/>
  <c r="AS652" i="99"/>
  <c r="BB652" i="99"/>
  <c r="BK652" i="99"/>
  <c r="BT652" i="99"/>
  <c r="CD652" i="99"/>
  <c r="CM652" i="99"/>
  <c r="CW652" i="99"/>
  <c r="DH652" i="99"/>
  <c r="DS652" i="99"/>
  <c r="EC652" i="99"/>
  <c r="EN652" i="99"/>
  <c r="EY652" i="99"/>
  <c r="FI652" i="99"/>
  <c r="FT652" i="99"/>
  <c r="GO652" i="99"/>
  <c r="GZ652" i="99"/>
  <c r="HK652" i="99"/>
  <c r="HU652" i="99"/>
  <c r="IF652" i="99"/>
  <c r="IQ652" i="99"/>
  <c r="JA652" i="99"/>
  <c r="JL652" i="99"/>
  <c r="JW652" i="99"/>
  <c r="KG652" i="99"/>
  <c r="KR652" i="99"/>
  <c r="LC652" i="99"/>
  <c r="LM652" i="99"/>
  <c r="AF653" i="99"/>
  <c r="AQ653" i="99"/>
  <c r="BA653" i="99"/>
  <c r="BL653" i="99"/>
  <c r="BW653" i="99"/>
  <c r="CG653" i="99"/>
  <c r="CR653" i="99"/>
  <c r="DC653" i="99"/>
  <c r="DM653" i="99"/>
  <c r="DX653" i="99"/>
  <c r="EI653" i="99"/>
  <c r="ES653" i="99"/>
  <c r="FD653" i="99"/>
  <c r="FO653" i="99"/>
  <c r="FY653" i="99"/>
  <c r="GJ653" i="99"/>
  <c r="GU653" i="99"/>
  <c r="HE653" i="99"/>
  <c r="HP653" i="99"/>
  <c r="IA653" i="99"/>
  <c r="IK653" i="99"/>
  <c r="IV653" i="99"/>
  <c r="JG653" i="99"/>
  <c r="JQ653" i="99"/>
  <c r="KB653" i="99"/>
  <c r="KM653" i="99"/>
  <c r="KW653" i="99"/>
  <c r="LS653" i="99"/>
  <c r="MC653" i="99"/>
  <c r="MN653" i="99"/>
  <c r="AA654" i="99"/>
  <c r="AK654" i="99"/>
  <c r="AV654" i="99"/>
  <c r="BG654" i="99"/>
  <c r="BQ654" i="99"/>
  <c r="CB654" i="99"/>
  <c r="CM654" i="99"/>
  <c r="CW654" i="99"/>
  <c r="DH654" i="99"/>
  <c r="DS654" i="99"/>
  <c r="EC654" i="99"/>
  <c r="EN654" i="99"/>
  <c r="EY654" i="99"/>
  <c r="FI654" i="99"/>
  <c r="FT654" i="99"/>
  <c r="GE654" i="99"/>
  <c r="GO654" i="99"/>
  <c r="GZ654" i="99"/>
  <c r="HK654" i="99"/>
  <c r="HU654" i="99"/>
  <c r="IF654" i="99"/>
  <c r="IQ654" i="99"/>
  <c r="JA654" i="99"/>
  <c r="JL654" i="99"/>
  <c r="JW654" i="99"/>
  <c r="KG654" i="99"/>
  <c r="KT654" i="99"/>
  <c r="LG654" i="99"/>
  <c r="LR654" i="99"/>
  <c r="ME654" i="99"/>
  <c r="AH655" i="99"/>
  <c r="AX655" i="99"/>
  <c r="BL655" i="99"/>
  <c r="BX655" i="99"/>
  <c r="CN655" i="99"/>
  <c r="DB655" i="99"/>
  <c r="DP655" i="99"/>
  <c r="EG655" i="99"/>
  <c r="EX655" i="99"/>
  <c r="FN655" i="99"/>
  <c r="GF655" i="99"/>
  <c r="GU655" i="99"/>
  <c r="HO655" i="99"/>
  <c r="IU655" i="99"/>
  <c r="JL655" i="99"/>
  <c r="KB655" i="99"/>
  <c r="KT655" i="99"/>
  <c r="LI655" i="99"/>
  <c r="MA655" i="99"/>
  <c r="AJ656" i="99"/>
  <c r="BF656" i="99"/>
  <c r="CB656" i="99"/>
  <c r="CV656" i="99"/>
  <c r="DR656" i="99"/>
  <c r="EN656" i="99"/>
  <c r="FH656" i="99"/>
  <c r="GD656" i="99"/>
  <c r="GZ656" i="99"/>
  <c r="HT656" i="99"/>
  <c r="IP656" i="99"/>
  <c r="JL656" i="99"/>
  <c r="KF656" i="99"/>
  <c r="LB656" i="99"/>
  <c r="LX656" i="99"/>
  <c r="AB657" i="99"/>
  <c r="AX657" i="99"/>
  <c r="BT657" i="99"/>
  <c r="CN657" i="99"/>
  <c r="DJ657" i="99"/>
  <c r="EF657" i="99"/>
  <c r="EZ657" i="99"/>
  <c r="FV657" i="99"/>
  <c r="GR657" i="99"/>
  <c r="HL657" i="99"/>
  <c r="LH657" i="99"/>
  <c r="MB657" i="99"/>
  <c r="AF658" i="99"/>
  <c r="BF658" i="99"/>
  <c r="CJ658" i="99"/>
  <c r="DL658" i="99"/>
  <c r="EN658" i="99"/>
  <c r="FP658" i="99"/>
  <c r="GT658" i="99"/>
  <c r="HT658" i="99"/>
  <c r="LR658" i="99"/>
  <c r="KZ660" i="99"/>
  <c r="MP655" i="99"/>
  <c r="MF655" i="99"/>
  <c r="KZ655" i="99"/>
  <c r="KN655" i="99"/>
  <c r="KD655" i="99"/>
  <c r="JT655" i="99"/>
  <c r="JH655" i="99"/>
  <c r="IX655" i="99"/>
  <c r="IN655" i="99"/>
  <c r="IF655" i="99"/>
  <c r="IV655" i="99"/>
  <c r="JN655" i="99"/>
  <c r="KC655" i="99"/>
  <c r="KU655" i="99"/>
  <c r="LI656" i="99"/>
  <c r="LG656" i="99"/>
  <c r="X656" i="99"/>
  <c r="AP656" i="99"/>
  <c r="BL656" i="99"/>
  <c r="CF656" i="99"/>
  <c r="DB656" i="99"/>
  <c r="DX656" i="99"/>
  <c r="ER656" i="99"/>
  <c r="FN656" i="99"/>
  <c r="GJ656" i="99"/>
  <c r="HD656" i="99"/>
  <c r="LH656" i="99"/>
  <c r="MB656" i="99"/>
  <c r="F336" i="99"/>
  <c r="G445" i="99"/>
  <c r="X649" i="99"/>
  <c r="AF649" i="99"/>
  <c r="AN649" i="99"/>
  <c r="AV649" i="99"/>
  <c r="BD649" i="99"/>
  <c r="BL649" i="99"/>
  <c r="BT649" i="99"/>
  <c r="CB649" i="99"/>
  <c r="CJ649" i="99"/>
  <c r="CR649" i="99"/>
  <c r="CZ649" i="99"/>
  <c r="DH649" i="99"/>
  <c r="DP649" i="99"/>
  <c r="DX649" i="99"/>
  <c r="EF649" i="99"/>
  <c r="EN649" i="99"/>
  <c r="EV649" i="99"/>
  <c r="FD649" i="99"/>
  <c r="FL649" i="99"/>
  <c r="FT649" i="99"/>
  <c r="GB649" i="99"/>
  <c r="GJ649" i="99"/>
  <c r="GR649" i="99"/>
  <c r="GZ649" i="99"/>
  <c r="HH649" i="99"/>
  <c r="HP649" i="99"/>
  <c r="HX649" i="99"/>
  <c r="IF649" i="99"/>
  <c r="IN649" i="99"/>
  <c r="IV649" i="99"/>
  <c r="JD649" i="99"/>
  <c r="JL649" i="99"/>
  <c r="JT649" i="99"/>
  <c r="KB649" i="99"/>
  <c r="KJ649" i="99"/>
  <c r="KR649" i="99"/>
  <c r="KZ649" i="99"/>
  <c r="LH649" i="99"/>
  <c r="LP649" i="99"/>
  <c r="LX649" i="99"/>
  <c r="MF649" i="99"/>
  <c r="MN649" i="99"/>
  <c r="X650" i="99"/>
  <c r="AF650" i="99"/>
  <c r="AN650" i="99"/>
  <c r="AV650" i="99"/>
  <c r="BD650" i="99"/>
  <c r="BL650" i="99"/>
  <c r="BT650" i="99"/>
  <c r="CB650" i="99"/>
  <c r="CJ650" i="99"/>
  <c r="CR650" i="99"/>
  <c r="CZ650" i="99"/>
  <c r="DH650" i="99"/>
  <c r="DP650" i="99"/>
  <c r="DX650" i="99"/>
  <c r="EF650" i="99"/>
  <c r="EN650" i="99"/>
  <c r="EV650" i="99"/>
  <c r="FD650" i="99"/>
  <c r="FL650" i="99"/>
  <c r="FT650" i="99"/>
  <c r="GB650" i="99"/>
  <c r="GJ650" i="99"/>
  <c r="GR650" i="99"/>
  <c r="GZ650" i="99"/>
  <c r="HH650" i="99"/>
  <c r="HP650" i="99"/>
  <c r="HX650" i="99"/>
  <c r="IF650" i="99"/>
  <c r="IN650" i="99"/>
  <c r="IV650" i="99"/>
  <c r="JD650" i="99"/>
  <c r="JL650" i="99"/>
  <c r="JT650" i="99"/>
  <c r="KB650" i="99"/>
  <c r="KJ650" i="99"/>
  <c r="KR650" i="99"/>
  <c r="KZ650" i="99"/>
  <c r="LH650" i="99"/>
  <c r="LP650" i="99"/>
  <c r="LX650" i="99"/>
  <c r="MF650" i="99"/>
  <c r="MN650" i="99"/>
  <c r="LI651" i="99"/>
  <c r="X651" i="99"/>
  <c r="AF651" i="99"/>
  <c r="AN651" i="99"/>
  <c r="AV651" i="99"/>
  <c r="BD651" i="99"/>
  <c r="BL651" i="99"/>
  <c r="BT651" i="99"/>
  <c r="CB651" i="99"/>
  <c r="CJ651" i="99"/>
  <c r="CR651" i="99"/>
  <c r="CZ651" i="99"/>
  <c r="DH651" i="99"/>
  <c r="DP651" i="99"/>
  <c r="DX651" i="99"/>
  <c r="EF651" i="99"/>
  <c r="EP651" i="99"/>
  <c r="EY651" i="99"/>
  <c r="FH651" i="99"/>
  <c r="FQ651" i="99"/>
  <c r="FZ651" i="99"/>
  <c r="GI651" i="99"/>
  <c r="GR651" i="99"/>
  <c r="HB651" i="99"/>
  <c r="HK651" i="99"/>
  <c r="HT651" i="99"/>
  <c r="IC651" i="99"/>
  <c r="IL651" i="99"/>
  <c r="IU651" i="99"/>
  <c r="JD651" i="99"/>
  <c r="JN651" i="99"/>
  <c r="JW651" i="99"/>
  <c r="KF651" i="99"/>
  <c r="KO651" i="99"/>
  <c r="KX651" i="99"/>
  <c r="LG651" i="99"/>
  <c r="LP651" i="99"/>
  <c r="LZ651" i="99"/>
  <c r="MI651" i="99"/>
  <c r="GA652" i="99"/>
  <c r="EE652" i="99"/>
  <c r="AC652" i="99"/>
  <c r="AL652" i="99"/>
  <c r="AU652" i="99"/>
  <c r="BD652" i="99"/>
  <c r="BN652" i="99"/>
  <c r="BW652" i="99"/>
  <c r="CF652" i="99"/>
  <c r="CO652" i="99"/>
  <c r="CZ652" i="99"/>
  <c r="DK652" i="99"/>
  <c r="DU652" i="99"/>
  <c r="EF652" i="99"/>
  <c r="EQ652" i="99"/>
  <c r="FA652" i="99"/>
  <c r="FL652" i="99"/>
  <c r="FW652" i="99"/>
  <c r="GG652" i="99"/>
  <c r="GR652" i="99"/>
  <c r="HC652" i="99"/>
  <c r="HM652" i="99"/>
  <c r="HX652" i="99"/>
  <c r="II652" i="99"/>
  <c r="IS652" i="99"/>
  <c r="JD652" i="99"/>
  <c r="JO652" i="99"/>
  <c r="JY652" i="99"/>
  <c r="KJ652" i="99"/>
  <c r="KU652" i="99"/>
  <c r="LE652" i="99"/>
  <c r="LP652" i="99"/>
  <c r="MA652" i="99"/>
  <c r="LI653" i="99"/>
  <c r="LG653" i="99"/>
  <c r="EU653" i="99"/>
  <c r="EM653" i="99"/>
  <c r="DW653" i="99"/>
  <c r="DO653" i="99"/>
  <c r="DG653" i="99"/>
  <c r="CY653" i="99"/>
  <c r="CQ653" i="99"/>
  <c r="CI653" i="99"/>
  <c r="CA653" i="99"/>
  <c r="BS653" i="99"/>
  <c r="BK653" i="99"/>
  <c r="BC653" i="99"/>
  <c r="AU653" i="99"/>
  <c r="AM653" i="99"/>
  <c r="AE653" i="99"/>
  <c r="X653" i="99"/>
  <c r="AI653" i="99"/>
  <c r="AS653" i="99"/>
  <c r="BD653" i="99"/>
  <c r="BO653" i="99"/>
  <c r="BY653" i="99"/>
  <c r="CJ653" i="99"/>
  <c r="CU653" i="99"/>
  <c r="DE653" i="99"/>
  <c r="DP653" i="99"/>
  <c r="EA653" i="99"/>
  <c r="EK653" i="99"/>
  <c r="EV653" i="99"/>
  <c r="FG653" i="99"/>
  <c r="FQ653" i="99"/>
  <c r="GB653" i="99"/>
  <c r="GM653" i="99"/>
  <c r="GW653" i="99"/>
  <c r="HH653" i="99"/>
  <c r="HS653" i="99"/>
  <c r="IC653" i="99"/>
  <c r="IN653" i="99"/>
  <c r="IY653" i="99"/>
  <c r="JI653" i="99"/>
  <c r="JT653" i="99"/>
  <c r="KE653" i="99"/>
  <c r="KO653" i="99"/>
  <c r="KZ653" i="99"/>
  <c r="LK653" i="99"/>
  <c r="LU653" i="99"/>
  <c r="MF653" i="99"/>
  <c r="MQ653" i="99"/>
  <c r="AC654" i="99"/>
  <c r="AN654" i="99"/>
  <c r="AY654" i="99"/>
  <c r="BI654" i="99"/>
  <c r="BT654" i="99"/>
  <c r="CE654" i="99"/>
  <c r="CO654" i="99"/>
  <c r="CZ654" i="99"/>
  <c r="DK654" i="99"/>
  <c r="DU654" i="99"/>
  <c r="EF654" i="99"/>
  <c r="EQ654" i="99"/>
  <c r="FA654" i="99"/>
  <c r="FL654" i="99"/>
  <c r="FW654" i="99"/>
  <c r="GG654" i="99"/>
  <c r="GR654" i="99"/>
  <c r="HC654" i="99"/>
  <c r="HM654" i="99"/>
  <c r="HX654" i="99"/>
  <c r="II654" i="99"/>
  <c r="IS654" i="99"/>
  <c r="JD654" i="99"/>
  <c r="JO654" i="99"/>
  <c r="JY654" i="99"/>
  <c r="KK654" i="99"/>
  <c r="KW654" i="99"/>
  <c r="LI654" i="99"/>
  <c r="LU654" i="99"/>
  <c r="A655" i="99"/>
  <c r="X655" i="99"/>
  <c r="AN655" i="99"/>
  <c r="AZ655" i="99"/>
  <c r="BN655" i="99"/>
  <c r="CD655" i="99"/>
  <c r="CR655" i="99"/>
  <c r="DD655" i="99"/>
  <c r="DT655" i="99"/>
  <c r="EI655" i="99"/>
  <c r="FC655" i="99"/>
  <c r="FT655" i="99"/>
  <c r="GJ655" i="99"/>
  <c r="HB655" i="99"/>
  <c r="HQ655" i="99"/>
  <c r="IH655" i="99"/>
  <c r="IW655" i="99"/>
  <c r="JO655" i="99"/>
  <c r="KF655" i="99"/>
  <c r="KV655" i="99"/>
  <c r="LP655" i="99"/>
  <c r="MT656" i="99"/>
  <c r="ML656" i="99"/>
  <c r="MD656" i="99"/>
  <c r="LV656" i="99"/>
  <c r="LN656" i="99"/>
  <c r="LF656" i="99"/>
  <c r="KX656" i="99"/>
  <c r="KP656" i="99"/>
  <c r="KH656" i="99"/>
  <c r="JZ656" i="99"/>
  <c r="JR656" i="99"/>
  <c r="JJ656" i="99"/>
  <c r="JB656" i="99"/>
  <c r="IT656" i="99"/>
  <c r="IL656" i="99"/>
  <c r="ID656" i="99"/>
  <c r="HV656" i="99"/>
  <c r="HN656" i="99"/>
  <c r="HF656" i="99"/>
  <c r="GX656" i="99"/>
  <c r="GP656" i="99"/>
  <c r="GH656" i="99"/>
  <c r="FZ656" i="99"/>
  <c r="FR656" i="99"/>
  <c r="FJ656" i="99"/>
  <c r="FB656" i="99"/>
  <c r="ET656" i="99"/>
  <c r="EL656" i="99"/>
  <c r="ED656" i="99"/>
  <c r="DV656" i="99"/>
  <c r="DN656" i="99"/>
  <c r="DF656" i="99"/>
  <c r="CX656" i="99"/>
  <c r="CP656" i="99"/>
  <c r="CH656" i="99"/>
  <c r="BZ656" i="99"/>
  <c r="BR656" i="99"/>
  <c r="BJ656" i="99"/>
  <c r="BB656" i="99"/>
  <c r="AT656" i="99"/>
  <c r="AL656" i="99"/>
  <c r="AD656" i="99"/>
  <c r="MS656" i="99"/>
  <c r="MK656" i="99"/>
  <c r="MC656" i="99"/>
  <c r="LU656" i="99"/>
  <c r="LM656" i="99"/>
  <c r="LE656" i="99"/>
  <c r="KW656" i="99"/>
  <c r="KO656" i="99"/>
  <c r="KG656" i="99"/>
  <c r="JY656" i="99"/>
  <c r="JQ656" i="99"/>
  <c r="JI656" i="99"/>
  <c r="JA656" i="99"/>
  <c r="IS656" i="99"/>
  <c r="IK656" i="99"/>
  <c r="IC656" i="99"/>
  <c r="HU656" i="99"/>
  <c r="HM656" i="99"/>
  <c r="HE656" i="99"/>
  <c r="GW656" i="99"/>
  <c r="GO656" i="99"/>
  <c r="GG656" i="99"/>
  <c r="FY656" i="99"/>
  <c r="FQ656" i="99"/>
  <c r="FI656" i="99"/>
  <c r="FA656" i="99"/>
  <c r="ES656" i="99"/>
  <c r="EK656" i="99"/>
  <c r="EC656" i="99"/>
  <c r="DU656" i="99"/>
  <c r="DM656" i="99"/>
  <c r="DE656" i="99"/>
  <c r="CW656" i="99"/>
  <c r="CO656" i="99"/>
  <c r="CG656" i="99"/>
  <c r="BY656" i="99"/>
  <c r="BQ656" i="99"/>
  <c r="BI656" i="99"/>
  <c r="BA656" i="99"/>
  <c r="AS656" i="99"/>
  <c r="AK656" i="99"/>
  <c r="AC656" i="99"/>
  <c r="MO656" i="99"/>
  <c r="ME656" i="99"/>
  <c r="LS656" i="99"/>
  <c r="KY656" i="99"/>
  <c r="KM656" i="99"/>
  <c r="KC656" i="99"/>
  <c r="JS656" i="99"/>
  <c r="JG656" i="99"/>
  <c r="IW656" i="99"/>
  <c r="IM656" i="99"/>
  <c r="IA656" i="99"/>
  <c r="HQ656" i="99"/>
  <c r="HG656" i="99"/>
  <c r="GU656" i="99"/>
  <c r="GK656" i="99"/>
  <c r="GA656" i="99"/>
  <c r="FO656" i="99"/>
  <c r="FE656" i="99"/>
  <c r="EU656" i="99"/>
  <c r="EI656" i="99"/>
  <c r="DY656" i="99"/>
  <c r="DO656" i="99"/>
  <c r="DC656" i="99"/>
  <c r="CS656" i="99"/>
  <c r="CI656" i="99"/>
  <c r="BW656" i="99"/>
  <c r="BM656" i="99"/>
  <c r="BC656" i="99"/>
  <c r="AQ656" i="99"/>
  <c r="AG656" i="99"/>
  <c r="MM656" i="99"/>
  <c r="MA656" i="99"/>
  <c r="LQ656" i="99"/>
  <c r="KU656" i="99"/>
  <c r="KK656" i="99"/>
  <c r="KA656" i="99"/>
  <c r="JO656" i="99"/>
  <c r="JE656" i="99"/>
  <c r="IU656" i="99"/>
  <c r="II656" i="99"/>
  <c r="HY656" i="99"/>
  <c r="HO656" i="99"/>
  <c r="HC656" i="99"/>
  <c r="GS656" i="99"/>
  <c r="GI656" i="99"/>
  <c r="FW656" i="99"/>
  <c r="FM656" i="99"/>
  <c r="FC656" i="99"/>
  <c r="EQ656" i="99"/>
  <c r="EG656" i="99"/>
  <c r="DW656" i="99"/>
  <c r="DK656" i="99"/>
  <c r="DA656" i="99"/>
  <c r="CQ656" i="99"/>
  <c r="CE656" i="99"/>
  <c r="BU656" i="99"/>
  <c r="BK656" i="99"/>
  <c r="AY656" i="99"/>
  <c r="AO656" i="99"/>
  <c r="AE656" i="99"/>
  <c r="MJ656" i="99"/>
  <c r="LZ656" i="99"/>
  <c r="LP656" i="99"/>
  <c r="LD656" i="99"/>
  <c r="KT656" i="99"/>
  <c r="KJ656" i="99"/>
  <c r="JX656" i="99"/>
  <c r="JN656" i="99"/>
  <c r="JD656" i="99"/>
  <c r="IR656" i="99"/>
  <c r="IH656" i="99"/>
  <c r="HX656" i="99"/>
  <c r="HL656" i="99"/>
  <c r="HB656" i="99"/>
  <c r="GR656" i="99"/>
  <c r="GF656" i="99"/>
  <c r="FV656" i="99"/>
  <c r="FL656" i="99"/>
  <c r="EZ656" i="99"/>
  <c r="EP656" i="99"/>
  <c r="EF656" i="99"/>
  <c r="DT656" i="99"/>
  <c r="DJ656" i="99"/>
  <c r="CZ656" i="99"/>
  <c r="CN656" i="99"/>
  <c r="CD656" i="99"/>
  <c r="BT656" i="99"/>
  <c r="BH656" i="99"/>
  <c r="AX656" i="99"/>
  <c r="AN656" i="99"/>
  <c r="AB656" i="99"/>
  <c r="MI656" i="99"/>
  <c r="LY656" i="99"/>
  <c r="LO656" i="99"/>
  <c r="LC656" i="99"/>
  <c r="KS656" i="99"/>
  <c r="KI656" i="99"/>
  <c r="JW656" i="99"/>
  <c r="JM656" i="99"/>
  <c r="JC656" i="99"/>
  <c r="IQ656" i="99"/>
  <c r="IG656" i="99"/>
  <c r="HW656" i="99"/>
  <c r="HK656" i="99"/>
  <c r="HA656" i="99"/>
  <c r="GQ656" i="99"/>
  <c r="GE656" i="99"/>
  <c r="FU656" i="99"/>
  <c r="FK656" i="99"/>
  <c r="EY656" i="99"/>
  <c r="EO656" i="99"/>
  <c r="EE656" i="99"/>
  <c r="DS656" i="99"/>
  <c r="DI656" i="99"/>
  <c r="CY656" i="99"/>
  <c r="CM656" i="99"/>
  <c r="CC656" i="99"/>
  <c r="BS656" i="99"/>
  <c r="BG656" i="99"/>
  <c r="AW656" i="99"/>
  <c r="AM656" i="99"/>
  <c r="Y656" i="99"/>
  <c r="AR656" i="99"/>
  <c r="BN656" i="99"/>
  <c r="CJ656" i="99"/>
  <c r="DD656" i="99"/>
  <c r="DZ656" i="99"/>
  <c r="EV656" i="99"/>
  <c r="FP656" i="99"/>
  <c r="GL656" i="99"/>
  <c r="HH656" i="99"/>
  <c r="IB656" i="99"/>
  <c r="IX656" i="99"/>
  <c r="JT656" i="99"/>
  <c r="KN656" i="99"/>
  <c r="LJ656" i="99"/>
  <c r="MF656" i="99"/>
  <c r="AF657" i="99"/>
  <c r="AZ657" i="99"/>
  <c r="BV657" i="99"/>
  <c r="CR657" i="99"/>
  <c r="DL657" i="99"/>
  <c r="EH657" i="99"/>
  <c r="FD657" i="99"/>
  <c r="FX657" i="99"/>
  <c r="GT657" i="99"/>
  <c r="HP657" i="99"/>
  <c r="A658" i="99"/>
  <c r="AJ658" i="99"/>
  <c r="BN658" i="99"/>
  <c r="CR658" i="99"/>
  <c r="DR658" i="99"/>
  <c r="EV658" i="99"/>
  <c r="GZ658" i="99"/>
  <c r="MB658" i="99"/>
  <c r="D351" i="99"/>
  <c r="S396" i="99"/>
  <c r="S413" i="99"/>
  <c r="Y649" i="99"/>
  <c r="AG649" i="99"/>
  <c r="AO649" i="99"/>
  <c r="AW649" i="99"/>
  <c r="BE649" i="99"/>
  <c r="BM649" i="99"/>
  <c r="BU649" i="99"/>
  <c r="CC649" i="99"/>
  <c r="CK649" i="99"/>
  <c r="CS649" i="99"/>
  <c r="DA649" i="99"/>
  <c r="DI649" i="99"/>
  <c r="DQ649" i="99"/>
  <c r="DY649" i="99"/>
  <c r="EG649" i="99"/>
  <c r="EO649" i="99"/>
  <c r="EW649" i="99"/>
  <c r="FE649" i="99"/>
  <c r="FM649" i="99"/>
  <c r="FU649" i="99"/>
  <c r="GC649" i="99"/>
  <c r="GK649" i="99"/>
  <c r="GS649" i="99"/>
  <c r="HA649" i="99"/>
  <c r="HI649" i="99"/>
  <c r="HQ649" i="99"/>
  <c r="HY649" i="99"/>
  <c r="IG649" i="99"/>
  <c r="IO649" i="99"/>
  <c r="IW649" i="99"/>
  <c r="JE649" i="99"/>
  <c r="JM649" i="99"/>
  <c r="JU649" i="99"/>
  <c r="KC649" i="99"/>
  <c r="KK649" i="99"/>
  <c r="KS649" i="99"/>
  <c r="LA649" i="99"/>
  <c r="LI649" i="99"/>
  <c r="LQ649" i="99"/>
  <c r="LY649" i="99"/>
  <c r="MG649" i="99"/>
  <c r="MO649" i="99"/>
  <c r="Y650" i="99"/>
  <c r="AG650" i="99"/>
  <c r="AO650" i="99"/>
  <c r="AW650" i="99"/>
  <c r="BE650" i="99"/>
  <c r="BM650" i="99"/>
  <c r="BU650" i="99"/>
  <c r="CC650" i="99"/>
  <c r="CK650" i="99"/>
  <c r="CS650" i="99"/>
  <c r="DA650" i="99"/>
  <c r="DI650" i="99"/>
  <c r="DQ650" i="99"/>
  <c r="DY650" i="99"/>
  <c r="EG650" i="99"/>
  <c r="EO650" i="99"/>
  <c r="EW650" i="99"/>
  <c r="FE650" i="99"/>
  <c r="FM650" i="99"/>
  <c r="FU650" i="99"/>
  <c r="GC650" i="99"/>
  <c r="GK650" i="99"/>
  <c r="GS650" i="99"/>
  <c r="HA650" i="99"/>
  <c r="HI650" i="99"/>
  <c r="HQ650" i="99"/>
  <c r="HY650" i="99"/>
  <c r="IG650" i="99"/>
  <c r="IO650" i="99"/>
  <c r="IW650" i="99"/>
  <c r="JE650" i="99"/>
  <c r="JM650" i="99"/>
  <c r="JU650" i="99"/>
  <c r="KC650" i="99"/>
  <c r="KK650" i="99"/>
  <c r="KS650" i="99"/>
  <c r="LA650" i="99"/>
  <c r="LI650" i="99"/>
  <c r="LQ650" i="99"/>
  <c r="LY650" i="99"/>
  <c r="MG650" i="99"/>
  <c r="MO650" i="99"/>
  <c r="MO651" i="99"/>
  <c r="MG651" i="99"/>
  <c r="LY651" i="99"/>
  <c r="LQ651" i="99"/>
  <c r="LA651" i="99"/>
  <c r="KS651" i="99"/>
  <c r="KK651" i="99"/>
  <c r="KC651" i="99"/>
  <c r="JU651" i="99"/>
  <c r="JM651" i="99"/>
  <c r="JE651" i="99"/>
  <c r="IW651" i="99"/>
  <c r="IO651" i="99"/>
  <c r="IG651" i="99"/>
  <c r="HY651" i="99"/>
  <c r="HQ651" i="99"/>
  <c r="HI651" i="99"/>
  <c r="HA651" i="99"/>
  <c r="GS651" i="99"/>
  <c r="GK651" i="99"/>
  <c r="GC651" i="99"/>
  <c r="FU651" i="99"/>
  <c r="FM651" i="99"/>
  <c r="FE651" i="99"/>
  <c r="EW651" i="99"/>
  <c r="EO651" i="99"/>
  <c r="EG651" i="99"/>
  <c r="Y651" i="99"/>
  <c r="AG651" i="99"/>
  <c r="AO651" i="99"/>
  <c r="AW651" i="99"/>
  <c r="BE651" i="99"/>
  <c r="BM651" i="99"/>
  <c r="BU651" i="99"/>
  <c r="CC651" i="99"/>
  <c r="CK651" i="99"/>
  <c r="CS651" i="99"/>
  <c r="DA651" i="99"/>
  <c r="DI651" i="99"/>
  <c r="DQ651" i="99"/>
  <c r="DY651" i="99"/>
  <c r="EH651" i="99"/>
  <c r="EQ651" i="99"/>
  <c r="EZ651" i="99"/>
  <c r="FI651" i="99"/>
  <c r="FR651" i="99"/>
  <c r="GA651" i="99"/>
  <c r="GJ651" i="99"/>
  <c r="GT651" i="99"/>
  <c r="HC651" i="99"/>
  <c r="HL651" i="99"/>
  <c r="HU651" i="99"/>
  <c r="ID651" i="99"/>
  <c r="IM651" i="99"/>
  <c r="IV651" i="99"/>
  <c r="JF651" i="99"/>
  <c r="JO651" i="99"/>
  <c r="JX651" i="99"/>
  <c r="KG651" i="99"/>
  <c r="KP651" i="99"/>
  <c r="KY651" i="99"/>
  <c r="LH651" i="99"/>
  <c r="LR651" i="99"/>
  <c r="MA651" i="99"/>
  <c r="MJ651" i="99"/>
  <c r="MS651" i="99"/>
  <c r="AD652" i="99"/>
  <c r="AM652" i="99"/>
  <c r="AV652" i="99"/>
  <c r="BF652" i="99"/>
  <c r="BO652" i="99"/>
  <c r="BX652" i="99"/>
  <c r="CG652" i="99"/>
  <c r="CP652" i="99"/>
  <c r="DB652" i="99"/>
  <c r="DL652" i="99"/>
  <c r="DV652" i="99"/>
  <c r="ER652" i="99"/>
  <c r="FB652" i="99"/>
  <c r="FN652" i="99"/>
  <c r="GH652" i="99"/>
  <c r="GT652" i="99"/>
  <c r="HD652" i="99"/>
  <c r="HN652" i="99"/>
  <c r="HZ652" i="99"/>
  <c r="IJ652" i="99"/>
  <c r="IT652" i="99"/>
  <c r="JF652" i="99"/>
  <c r="JP652" i="99"/>
  <c r="JZ652" i="99"/>
  <c r="KL652" i="99"/>
  <c r="KV652" i="99"/>
  <c r="LF652" i="99"/>
  <c r="LR652" i="99"/>
  <c r="MB652" i="99"/>
  <c r="Z653" i="99"/>
  <c r="AJ653" i="99"/>
  <c r="AT653" i="99"/>
  <c r="BF653" i="99"/>
  <c r="BP653" i="99"/>
  <c r="BZ653" i="99"/>
  <c r="CL653" i="99"/>
  <c r="CV653" i="99"/>
  <c r="DF653" i="99"/>
  <c r="DR653" i="99"/>
  <c r="EB653" i="99"/>
  <c r="EL653" i="99"/>
  <c r="EX653" i="99"/>
  <c r="FH653" i="99"/>
  <c r="FR653" i="99"/>
  <c r="GD653" i="99"/>
  <c r="GN653" i="99"/>
  <c r="GX653" i="99"/>
  <c r="HJ653" i="99"/>
  <c r="HT653" i="99"/>
  <c r="LL653" i="99"/>
  <c r="LV653" i="99"/>
  <c r="AD654" i="99"/>
  <c r="AP654" i="99"/>
  <c r="AZ654" i="99"/>
  <c r="BJ654" i="99"/>
  <c r="BV654" i="99"/>
  <c r="CF654" i="99"/>
  <c r="CP654" i="99"/>
  <c r="DB654" i="99"/>
  <c r="DL654" i="99"/>
  <c r="DV654" i="99"/>
  <c r="ER654" i="99"/>
  <c r="FB654" i="99"/>
  <c r="FN654" i="99"/>
  <c r="GH654" i="99"/>
  <c r="GT654" i="99"/>
  <c r="HD654" i="99"/>
  <c r="HN654" i="99"/>
  <c r="HZ654" i="99"/>
  <c r="IJ654" i="99"/>
  <c r="IT654" i="99"/>
  <c r="JF654" i="99"/>
  <c r="JP654" i="99"/>
  <c r="JZ654" i="99"/>
  <c r="KM654" i="99"/>
  <c r="KY654" i="99"/>
  <c r="LJ654" i="99"/>
  <c r="LX654" i="99"/>
  <c r="LK655" i="99"/>
  <c r="LT655" i="99"/>
  <c r="LJ655" i="99"/>
  <c r="HR655" i="99"/>
  <c r="HH655" i="99"/>
  <c r="GV655" i="99"/>
  <c r="GL655" i="99"/>
  <c r="FP655" i="99"/>
  <c r="FF655" i="99"/>
  <c r="EV655" i="99"/>
  <c r="EJ655" i="99"/>
  <c r="DZ655" i="99"/>
  <c r="Z655" i="99"/>
  <c r="AO655" i="99"/>
  <c r="BC655" i="99"/>
  <c r="BP655" i="99"/>
  <c r="CE655" i="99"/>
  <c r="CS655" i="99"/>
  <c r="DH655" i="99"/>
  <c r="DW655" i="99"/>
  <c r="EN655" i="99"/>
  <c r="FD655" i="99"/>
  <c r="FV655" i="99"/>
  <c r="GK655" i="99"/>
  <c r="HC655" i="99"/>
  <c r="HT655" i="99"/>
  <c r="II655" i="99"/>
  <c r="IZ655" i="99"/>
  <c r="JP655" i="99"/>
  <c r="KJ655" i="99"/>
  <c r="KY655" i="99"/>
  <c r="LQ655" i="99"/>
  <c r="MH655" i="99"/>
  <c r="Z656" i="99"/>
  <c r="AU656" i="99"/>
  <c r="BO656" i="99"/>
  <c r="CK656" i="99"/>
  <c r="DG656" i="99"/>
  <c r="EA656" i="99"/>
  <c r="EW656" i="99"/>
  <c r="FS656" i="99"/>
  <c r="GM656" i="99"/>
  <c r="HI656" i="99"/>
  <c r="LK656" i="99"/>
  <c r="GB657" i="99"/>
  <c r="HQ657" i="99"/>
  <c r="HG657" i="99"/>
  <c r="GU657" i="99"/>
  <c r="GK657" i="99"/>
  <c r="GA657" i="99"/>
  <c r="FO657" i="99"/>
  <c r="FE657" i="99"/>
  <c r="EU657" i="99"/>
  <c r="EI657" i="99"/>
  <c r="DY657" i="99"/>
  <c r="DO657" i="99"/>
  <c r="DC657" i="99"/>
  <c r="CS657" i="99"/>
  <c r="CI657" i="99"/>
  <c r="BW657" i="99"/>
  <c r="BM657" i="99"/>
  <c r="BC657" i="99"/>
  <c r="AQ657" i="99"/>
  <c r="AG657" i="99"/>
  <c r="AJ657" i="99"/>
  <c r="BF657" i="99"/>
  <c r="CB657" i="99"/>
  <c r="CV657" i="99"/>
  <c r="DR657" i="99"/>
  <c r="EN657" i="99"/>
  <c r="FH657" i="99"/>
  <c r="GD657" i="99"/>
  <c r="GZ657" i="99"/>
  <c r="HT657" i="99"/>
  <c r="LQ657" i="99"/>
  <c r="AP658" i="99"/>
  <c r="BP658" i="99"/>
  <c r="CT658" i="99"/>
  <c r="DX658" i="99"/>
  <c r="EX658" i="99"/>
  <c r="HD658" i="99"/>
  <c r="L660" i="99"/>
  <c r="M660" i="99" s="1"/>
  <c r="IF660" i="99"/>
  <c r="MQ660" i="99"/>
  <c r="I302" i="99"/>
  <c r="A444" i="99"/>
  <c r="Z649" i="99"/>
  <c r="AH649" i="99"/>
  <c r="AP649" i="99"/>
  <c r="AX649" i="99"/>
  <c r="BF649" i="99"/>
  <c r="BN649" i="99"/>
  <c r="BV649" i="99"/>
  <c r="CD649" i="99"/>
  <c r="CL649" i="99"/>
  <c r="CT649" i="99"/>
  <c r="DB649" i="99"/>
  <c r="DJ649" i="99"/>
  <c r="DR649" i="99"/>
  <c r="DZ649" i="99"/>
  <c r="EH649" i="99"/>
  <c r="EP649" i="99"/>
  <c r="EX649" i="99"/>
  <c r="FF649" i="99"/>
  <c r="FN649" i="99"/>
  <c r="FV649" i="99"/>
  <c r="GD649" i="99"/>
  <c r="GL649" i="99"/>
  <c r="GT649" i="99"/>
  <c r="HB649" i="99"/>
  <c r="HJ649" i="99"/>
  <c r="HR649" i="99"/>
  <c r="HZ649" i="99"/>
  <c r="IH649" i="99"/>
  <c r="IP649" i="99"/>
  <c r="IX649" i="99"/>
  <c r="JF649" i="99"/>
  <c r="JN649" i="99"/>
  <c r="JV649" i="99"/>
  <c r="KD649" i="99"/>
  <c r="KL649" i="99"/>
  <c r="KT649" i="99"/>
  <c r="LB649" i="99"/>
  <c r="LJ649" i="99"/>
  <c r="LR649" i="99"/>
  <c r="LZ649" i="99"/>
  <c r="MH649" i="99"/>
  <c r="MP649" i="99"/>
  <c r="Z650" i="99"/>
  <c r="AH650" i="99"/>
  <c r="AP650" i="99"/>
  <c r="AX650" i="99"/>
  <c r="BF650" i="99"/>
  <c r="BN650" i="99"/>
  <c r="BV650" i="99"/>
  <c r="CD650" i="99"/>
  <c r="CL650" i="99"/>
  <c r="CT650" i="99"/>
  <c r="DB650" i="99"/>
  <c r="DJ650" i="99"/>
  <c r="DR650" i="99"/>
  <c r="DZ650" i="99"/>
  <c r="EH650" i="99"/>
  <c r="EP650" i="99"/>
  <c r="EX650" i="99"/>
  <c r="FF650" i="99"/>
  <c r="FN650" i="99"/>
  <c r="FV650" i="99"/>
  <c r="GD650" i="99"/>
  <c r="GL650" i="99"/>
  <c r="GT650" i="99"/>
  <c r="HB650" i="99"/>
  <c r="HJ650" i="99"/>
  <c r="HR650" i="99"/>
  <c r="HZ650" i="99"/>
  <c r="IH650" i="99"/>
  <c r="IP650" i="99"/>
  <c r="IX650" i="99"/>
  <c r="JF650" i="99"/>
  <c r="JN650" i="99"/>
  <c r="JV650" i="99"/>
  <c r="KD650" i="99"/>
  <c r="KL650" i="99"/>
  <c r="KT650" i="99"/>
  <c r="LB650" i="99"/>
  <c r="LJ650" i="99"/>
  <c r="LR650" i="99"/>
  <c r="LZ650" i="99"/>
  <c r="MH650" i="99"/>
  <c r="MP650" i="99"/>
  <c r="Z651" i="99"/>
  <c r="AH651" i="99"/>
  <c r="AP651" i="99"/>
  <c r="AX651" i="99"/>
  <c r="BF651" i="99"/>
  <c r="BN651" i="99"/>
  <c r="BV651" i="99"/>
  <c r="CD651" i="99"/>
  <c r="CL651" i="99"/>
  <c r="CT651" i="99"/>
  <c r="DB651" i="99"/>
  <c r="DJ651" i="99"/>
  <c r="DR651" i="99"/>
  <c r="DZ651" i="99"/>
  <c r="EI651" i="99"/>
  <c r="ER651" i="99"/>
  <c r="FA651" i="99"/>
  <c r="FJ651" i="99"/>
  <c r="FS651" i="99"/>
  <c r="GB651" i="99"/>
  <c r="GL651" i="99"/>
  <c r="GU651" i="99"/>
  <c r="HD651" i="99"/>
  <c r="HM651" i="99"/>
  <c r="HV651" i="99"/>
  <c r="IE651" i="99"/>
  <c r="IN651" i="99"/>
  <c r="IX651" i="99"/>
  <c r="JG651" i="99"/>
  <c r="JP651" i="99"/>
  <c r="JY651" i="99"/>
  <c r="KH651" i="99"/>
  <c r="KQ651" i="99"/>
  <c r="KZ651" i="99"/>
  <c r="LJ651" i="99"/>
  <c r="LS651" i="99"/>
  <c r="MB651" i="99"/>
  <c r="MK651" i="99"/>
  <c r="MT651" i="99"/>
  <c r="HW652" i="99"/>
  <c r="HO652" i="99"/>
  <c r="HG652" i="99"/>
  <c r="GY652" i="99"/>
  <c r="GQ652" i="99"/>
  <c r="GI652" i="99"/>
  <c r="AE652" i="99"/>
  <c r="AN652" i="99"/>
  <c r="AX652" i="99"/>
  <c r="BG652" i="99"/>
  <c r="BP652" i="99"/>
  <c r="BY652" i="99"/>
  <c r="CH652" i="99"/>
  <c r="CR652" i="99"/>
  <c r="DC652" i="99"/>
  <c r="DM652" i="99"/>
  <c r="DX652" i="99"/>
  <c r="EI652" i="99"/>
  <c r="ES652" i="99"/>
  <c r="FD652" i="99"/>
  <c r="FO652" i="99"/>
  <c r="FY652" i="99"/>
  <c r="GJ652" i="99"/>
  <c r="GU652" i="99"/>
  <c r="HE652" i="99"/>
  <c r="HP652" i="99"/>
  <c r="IA652" i="99"/>
  <c r="IK652" i="99"/>
  <c r="IV652" i="99"/>
  <c r="JG652" i="99"/>
  <c r="JQ652" i="99"/>
  <c r="KB652" i="99"/>
  <c r="KM652" i="99"/>
  <c r="KW652" i="99"/>
  <c r="LH652" i="99"/>
  <c r="LS652" i="99"/>
  <c r="MC652" i="99"/>
  <c r="AA653" i="99"/>
  <c r="AK653" i="99"/>
  <c r="AV653" i="99"/>
  <c r="BG653" i="99"/>
  <c r="BQ653" i="99"/>
  <c r="CB653" i="99"/>
  <c r="CM653" i="99"/>
  <c r="CW653" i="99"/>
  <c r="DH653" i="99"/>
  <c r="DS653" i="99"/>
  <c r="EC653" i="99"/>
  <c r="EN653" i="99"/>
  <c r="EY653" i="99"/>
  <c r="FI653" i="99"/>
  <c r="FT653" i="99"/>
  <c r="GE653" i="99"/>
  <c r="GO653" i="99"/>
  <c r="GZ653" i="99"/>
  <c r="HK653" i="99"/>
  <c r="HU653" i="99"/>
  <c r="IF653" i="99"/>
  <c r="IQ653" i="99"/>
  <c r="JA653" i="99"/>
  <c r="JL653" i="99"/>
  <c r="JW653" i="99"/>
  <c r="KG653" i="99"/>
  <c r="KR653" i="99"/>
  <c r="LC653" i="99"/>
  <c r="LM653" i="99"/>
  <c r="MI653" i="99"/>
  <c r="AF654" i="99"/>
  <c r="AQ654" i="99"/>
  <c r="BA654" i="99"/>
  <c r="BL654" i="99"/>
  <c r="BW654" i="99"/>
  <c r="CG654" i="99"/>
  <c r="CR654" i="99"/>
  <c r="DC654" i="99"/>
  <c r="DM654" i="99"/>
  <c r="DX654" i="99"/>
  <c r="EI654" i="99"/>
  <c r="ES654" i="99"/>
  <c r="FD654" i="99"/>
  <c r="FO654" i="99"/>
  <c r="FY654" i="99"/>
  <c r="GJ654" i="99"/>
  <c r="GU654" i="99"/>
  <c r="HE654" i="99"/>
  <c r="HP654" i="99"/>
  <c r="IA654" i="99"/>
  <c r="IK654" i="99"/>
  <c r="IV654" i="99"/>
  <c r="JG654" i="99"/>
  <c r="JQ654" i="99"/>
  <c r="KB654" i="99"/>
  <c r="KN654" i="99"/>
  <c r="KZ654" i="99"/>
  <c r="LL654" i="99"/>
  <c r="AB655" i="99"/>
  <c r="AP655" i="99"/>
  <c r="BD655" i="99"/>
  <c r="BT655" i="99"/>
  <c r="CF655" i="99"/>
  <c r="CT655" i="99"/>
  <c r="DJ655" i="99"/>
  <c r="DX655" i="99"/>
  <c r="EP655" i="99"/>
  <c r="FE655" i="99"/>
  <c r="FW655" i="99"/>
  <c r="GN655" i="99"/>
  <c r="HD655" i="99"/>
  <c r="HX655" i="99"/>
  <c r="IJ655" i="99"/>
  <c r="JD655" i="99"/>
  <c r="JS655" i="99"/>
  <c r="KK655" i="99"/>
  <c r="LB655" i="99"/>
  <c r="LR655" i="99"/>
  <c r="MJ655" i="99"/>
  <c r="F688" i="99"/>
  <c r="B688" i="99"/>
  <c r="E688" i="99"/>
  <c r="A656" i="99"/>
  <c r="AA656" i="99"/>
  <c r="AV656" i="99"/>
  <c r="BP656" i="99"/>
  <c r="CL656" i="99"/>
  <c r="DH656" i="99"/>
  <c r="EB656" i="99"/>
  <c r="EX656" i="99"/>
  <c r="FT656" i="99"/>
  <c r="GN656" i="99"/>
  <c r="HJ656" i="99"/>
  <c r="IF656" i="99"/>
  <c r="IZ656" i="99"/>
  <c r="JV656" i="99"/>
  <c r="KR656" i="99"/>
  <c r="LL656" i="99"/>
  <c r="MH656" i="99"/>
  <c r="M657" i="99"/>
  <c r="AN657" i="99"/>
  <c r="BH657" i="99"/>
  <c r="CD657" i="99"/>
  <c r="CZ657" i="99"/>
  <c r="DT657" i="99"/>
  <c r="EP657" i="99"/>
  <c r="FL657" i="99"/>
  <c r="GF657" i="99"/>
  <c r="HB657" i="99"/>
  <c r="HX657" i="99"/>
  <c r="LR657" i="99"/>
  <c r="AR658" i="99"/>
  <c r="BV658" i="99"/>
  <c r="CV658" i="99"/>
  <c r="DZ658" i="99"/>
  <c r="FD658" i="99"/>
  <c r="HH658" i="99"/>
  <c r="IV660" i="99"/>
  <c r="GU661" i="99"/>
  <c r="L275" i="99"/>
  <c r="E687" i="99"/>
  <c r="F687" i="99"/>
  <c r="M649" i="99"/>
  <c r="AA649" i="99"/>
  <c r="AI649" i="99"/>
  <c r="AQ649" i="99"/>
  <c r="AY649" i="99"/>
  <c r="BG649" i="99"/>
  <c r="BO649" i="99"/>
  <c r="BW649" i="99"/>
  <c r="CE649" i="99"/>
  <c r="CM649" i="99"/>
  <c r="CU649" i="99"/>
  <c r="DC649" i="99"/>
  <c r="DK649" i="99"/>
  <c r="DS649" i="99"/>
  <c r="EA649" i="99"/>
  <c r="EI649" i="99"/>
  <c r="EQ649" i="99"/>
  <c r="EY649" i="99"/>
  <c r="FG649" i="99"/>
  <c r="FO649" i="99"/>
  <c r="FW649" i="99"/>
  <c r="GE649" i="99"/>
  <c r="GM649" i="99"/>
  <c r="GU649" i="99"/>
  <c r="HC649" i="99"/>
  <c r="HK649" i="99"/>
  <c r="HS649" i="99"/>
  <c r="IA649" i="99"/>
  <c r="II649" i="99"/>
  <c r="IQ649" i="99"/>
  <c r="IY649" i="99"/>
  <c r="JG649" i="99"/>
  <c r="JO649" i="99"/>
  <c r="JW649" i="99"/>
  <c r="KE649" i="99"/>
  <c r="KM649" i="99"/>
  <c r="KU649" i="99"/>
  <c r="LC649" i="99"/>
  <c r="LS649" i="99"/>
  <c r="MA649" i="99"/>
  <c r="MI649" i="99"/>
  <c r="AA650" i="99"/>
  <c r="AI650" i="99"/>
  <c r="AQ650" i="99"/>
  <c r="AY650" i="99"/>
  <c r="BG650" i="99"/>
  <c r="BO650" i="99"/>
  <c r="BW650" i="99"/>
  <c r="CE650" i="99"/>
  <c r="CM650" i="99"/>
  <c r="CU650" i="99"/>
  <c r="DC650" i="99"/>
  <c r="DK650" i="99"/>
  <c r="DS650" i="99"/>
  <c r="EA650" i="99"/>
  <c r="EI650" i="99"/>
  <c r="EQ650" i="99"/>
  <c r="EY650" i="99"/>
  <c r="FG650" i="99"/>
  <c r="FO650" i="99"/>
  <c r="FW650" i="99"/>
  <c r="GE650" i="99"/>
  <c r="GM650" i="99"/>
  <c r="GU650" i="99"/>
  <c r="HC650" i="99"/>
  <c r="HK650" i="99"/>
  <c r="HS650" i="99"/>
  <c r="IA650" i="99"/>
  <c r="II650" i="99"/>
  <c r="IQ650" i="99"/>
  <c r="IY650" i="99"/>
  <c r="JG650" i="99"/>
  <c r="JO650" i="99"/>
  <c r="JW650" i="99"/>
  <c r="KE650" i="99"/>
  <c r="KM650" i="99"/>
  <c r="KU650" i="99"/>
  <c r="LC650" i="99"/>
  <c r="LS650" i="99"/>
  <c r="MA650" i="99"/>
  <c r="MI650" i="99"/>
  <c r="AA651" i="99"/>
  <c r="AI651" i="99"/>
  <c r="AQ651" i="99"/>
  <c r="AY651" i="99"/>
  <c r="BG651" i="99"/>
  <c r="BO651" i="99"/>
  <c r="BW651" i="99"/>
  <c r="CE651" i="99"/>
  <c r="CM651" i="99"/>
  <c r="CU651" i="99"/>
  <c r="DC651" i="99"/>
  <c r="DK651" i="99"/>
  <c r="DS651" i="99"/>
  <c r="EA651" i="99"/>
  <c r="EJ651" i="99"/>
  <c r="ES651" i="99"/>
  <c r="FB651" i="99"/>
  <c r="FK651" i="99"/>
  <c r="FT651" i="99"/>
  <c r="GD651" i="99"/>
  <c r="GM651" i="99"/>
  <c r="GV651" i="99"/>
  <c r="HE651" i="99"/>
  <c r="HN651" i="99"/>
  <c r="HW651" i="99"/>
  <c r="IF651" i="99"/>
  <c r="IP651" i="99"/>
  <c r="IY651" i="99"/>
  <c r="JH651" i="99"/>
  <c r="JQ651" i="99"/>
  <c r="JZ651" i="99"/>
  <c r="KI651" i="99"/>
  <c r="KR651" i="99"/>
  <c r="LB651" i="99"/>
  <c r="LK651" i="99"/>
  <c r="LT651" i="99"/>
  <c r="MC651" i="99"/>
  <c r="ML651" i="99"/>
  <c r="AF652" i="99"/>
  <c r="AP652" i="99"/>
  <c r="AY652" i="99"/>
  <c r="BH652" i="99"/>
  <c r="BQ652" i="99"/>
  <c r="BZ652" i="99"/>
  <c r="CI652" i="99"/>
  <c r="CT652" i="99"/>
  <c r="DD652" i="99"/>
  <c r="DN652" i="99"/>
  <c r="DZ652" i="99"/>
  <c r="EJ652" i="99"/>
  <c r="ET652" i="99"/>
  <c r="FF652" i="99"/>
  <c r="FP652" i="99"/>
  <c r="FZ652" i="99"/>
  <c r="GL652" i="99"/>
  <c r="GV652" i="99"/>
  <c r="HF652" i="99"/>
  <c r="HR652" i="99"/>
  <c r="IB652" i="99"/>
  <c r="IL652" i="99"/>
  <c r="IX652" i="99"/>
  <c r="JH652" i="99"/>
  <c r="JR652" i="99"/>
  <c r="KD652" i="99"/>
  <c r="KN652" i="99"/>
  <c r="LJ652" i="99"/>
  <c r="LT652" i="99"/>
  <c r="MD652" i="99"/>
  <c r="A653" i="99"/>
  <c r="M653" i="99"/>
  <c r="AB653" i="99"/>
  <c r="AL653" i="99"/>
  <c r="AX653" i="99"/>
  <c r="BH653" i="99"/>
  <c r="BR653" i="99"/>
  <c r="CD653" i="99"/>
  <c r="CN653" i="99"/>
  <c r="CX653" i="99"/>
  <c r="DJ653" i="99"/>
  <c r="DT653" i="99"/>
  <c r="ED653" i="99"/>
  <c r="EP653" i="99"/>
  <c r="EZ653" i="99"/>
  <c r="FJ653" i="99"/>
  <c r="FV653" i="99"/>
  <c r="GF653" i="99"/>
  <c r="GP653" i="99"/>
  <c r="HB653" i="99"/>
  <c r="HL653" i="99"/>
  <c r="HV653" i="99"/>
  <c r="IH653" i="99"/>
  <c r="IR653" i="99"/>
  <c r="JB653" i="99"/>
  <c r="JN653" i="99"/>
  <c r="JX653" i="99"/>
  <c r="KH653" i="99"/>
  <c r="KT653" i="99"/>
  <c r="LN653" i="99"/>
  <c r="LZ653" i="99"/>
  <c r="MJ653" i="99"/>
  <c r="MT653" i="99"/>
  <c r="AH654" i="99"/>
  <c r="AR654" i="99"/>
  <c r="BB654" i="99"/>
  <c r="BN654" i="99"/>
  <c r="BX654" i="99"/>
  <c r="CH654" i="99"/>
  <c r="CT654" i="99"/>
  <c r="DD654" i="99"/>
  <c r="DN654" i="99"/>
  <c r="DZ654" i="99"/>
  <c r="EJ654" i="99"/>
  <c r="ET654" i="99"/>
  <c r="FF654" i="99"/>
  <c r="FP654" i="99"/>
  <c r="GL654" i="99"/>
  <c r="GV654" i="99"/>
  <c r="HF654" i="99"/>
  <c r="HR654" i="99"/>
  <c r="IB654" i="99"/>
  <c r="IL654" i="99"/>
  <c r="IX654" i="99"/>
  <c r="JH654" i="99"/>
  <c r="JR654" i="99"/>
  <c r="KD654" i="99"/>
  <c r="KO654" i="99"/>
  <c r="LO654" i="99"/>
  <c r="LZ654" i="99"/>
  <c r="AE655" i="99"/>
  <c r="AQ655" i="99"/>
  <c r="BF655" i="99"/>
  <c r="BU655" i="99"/>
  <c r="CI655" i="99"/>
  <c r="CV655" i="99"/>
  <c r="DK655" i="99"/>
  <c r="DY655" i="99"/>
  <c r="EQ655" i="99"/>
  <c r="FH655" i="99"/>
  <c r="FX655" i="99"/>
  <c r="GR655" i="99"/>
  <c r="HG655" i="99"/>
  <c r="HY655" i="99"/>
  <c r="IM655" i="99"/>
  <c r="JE655" i="99"/>
  <c r="JV655" i="99"/>
  <c r="KL655" i="99"/>
  <c r="LD655" i="99"/>
  <c r="LS655" i="99"/>
  <c r="AF656" i="99"/>
  <c r="AZ656" i="99"/>
  <c r="BV656" i="99"/>
  <c r="CR656" i="99"/>
  <c r="DL656" i="99"/>
  <c r="EH656" i="99"/>
  <c r="FD656" i="99"/>
  <c r="FX656" i="99"/>
  <c r="GT656" i="99"/>
  <c r="HP656" i="99"/>
  <c r="IJ656" i="99"/>
  <c r="JF656" i="99"/>
  <c r="KB656" i="99"/>
  <c r="KV656" i="99"/>
  <c r="LR656" i="99"/>
  <c r="MN656" i="99"/>
  <c r="AO657" i="99"/>
  <c r="BK657" i="99"/>
  <c r="CE657" i="99"/>
  <c r="DA657" i="99"/>
  <c r="DW657" i="99"/>
  <c r="EQ657" i="99"/>
  <c r="FM657" i="99"/>
  <c r="GI657" i="99"/>
  <c r="HC657" i="99"/>
  <c r="HY657" i="99"/>
  <c r="LX657" i="99"/>
  <c r="AV658" i="99"/>
  <c r="BX658" i="99"/>
  <c r="DB658" i="99"/>
  <c r="EB658" i="99"/>
  <c r="FF658" i="99"/>
  <c r="GJ658" i="99"/>
  <c r="HJ658" i="99"/>
  <c r="JJ660" i="99"/>
  <c r="LS659" i="99"/>
  <c r="LI660" i="99"/>
  <c r="LP660" i="99"/>
  <c r="FL660" i="99"/>
  <c r="FB660" i="99"/>
  <c r="EQ660" i="99"/>
  <c r="DV660" i="99"/>
  <c r="DK660" i="99"/>
  <c r="CZ660" i="99"/>
  <c r="CP660" i="99"/>
  <c r="CE660" i="99"/>
  <c r="BT660" i="99"/>
  <c r="BJ660" i="99"/>
  <c r="AY660" i="99"/>
  <c r="AN660" i="99"/>
  <c r="AD660" i="99"/>
  <c r="LO660" i="99"/>
  <c r="FV660" i="99"/>
  <c r="FK660" i="99"/>
  <c r="FA660" i="99"/>
  <c r="EP660" i="99"/>
  <c r="DU660" i="99"/>
  <c r="DJ660" i="99"/>
  <c r="CY660" i="99"/>
  <c r="CO660" i="99"/>
  <c r="CD660" i="99"/>
  <c r="BS660" i="99"/>
  <c r="BI660" i="99"/>
  <c r="AX660" i="99"/>
  <c r="AM660" i="99"/>
  <c r="AC660" i="99"/>
  <c r="Z660" i="99"/>
  <c r="AP660" i="99"/>
  <c r="BC660" i="99"/>
  <c r="BQ660" i="99"/>
  <c r="CG660" i="99"/>
  <c r="CT660" i="99"/>
  <c r="DG660" i="99"/>
  <c r="DW660" i="99"/>
  <c r="EU660" i="99"/>
  <c r="FI660" i="99"/>
  <c r="GJ660" i="99"/>
  <c r="GX660" i="99"/>
  <c r="HK660" i="99"/>
  <c r="LH660" i="99"/>
  <c r="LV660" i="99"/>
  <c r="IM657" i="99"/>
  <c r="IW657" i="99"/>
  <c r="JG657" i="99"/>
  <c r="JS657" i="99"/>
  <c r="KC657" i="99"/>
  <c r="KM657" i="99"/>
  <c r="KY657" i="99"/>
  <c r="LI657" i="99"/>
  <c r="LS657" i="99"/>
  <c r="ME657" i="99"/>
  <c r="M658" i="99"/>
  <c r="AA658" i="99"/>
  <c r="AM658" i="99"/>
  <c r="AW658" i="99"/>
  <c r="BG658" i="99"/>
  <c r="BS658" i="99"/>
  <c r="CC658" i="99"/>
  <c r="CM658" i="99"/>
  <c r="CY658" i="99"/>
  <c r="DI658" i="99"/>
  <c r="DS658" i="99"/>
  <c r="EE658" i="99"/>
  <c r="EO658" i="99"/>
  <c r="EY658" i="99"/>
  <c r="FK658" i="99"/>
  <c r="FU658" i="99"/>
  <c r="GE658" i="99"/>
  <c r="GQ658" i="99"/>
  <c r="HA658" i="99"/>
  <c r="HK658" i="99"/>
  <c r="HW658" i="99"/>
  <c r="IG658" i="99"/>
  <c r="IQ658" i="99"/>
  <c r="JC658" i="99"/>
  <c r="JM658" i="99"/>
  <c r="JW658" i="99"/>
  <c r="KI658" i="99"/>
  <c r="KS658" i="99"/>
  <c r="LC658" i="99"/>
  <c r="LO658" i="99"/>
  <c r="LY658" i="99"/>
  <c r="MI658" i="99"/>
  <c r="AG659" i="99"/>
  <c r="AQ659" i="99"/>
  <c r="BC659" i="99"/>
  <c r="BM659" i="99"/>
  <c r="BW659" i="99"/>
  <c r="CI659" i="99"/>
  <c r="CS659" i="99"/>
  <c r="DC659" i="99"/>
  <c r="DO659" i="99"/>
  <c r="DY659" i="99"/>
  <c r="EI659" i="99"/>
  <c r="EU659" i="99"/>
  <c r="FE659" i="99"/>
  <c r="FO659" i="99"/>
  <c r="GA659" i="99"/>
  <c r="GK659" i="99"/>
  <c r="GU659" i="99"/>
  <c r="HG659" i="99"/>
  <c r="HQ659" i="99"/>
  <c r="IP659" i="99"/>
  <c r="JC659" i="99"/>
  <c r="JQ659" i="99"/>
  <c r="KG659" i="99"/>
  <c r="KT659" i="99"/>
  <c r="LG659" i="99"/>
  <c r="MR660" i="99"/>
  <c r="AA660" i="99"/>
  <c r="AQ660" i="99"/>
  <c r="BD660" i="99"/>
  <c r="BR660" i="99"/>
  <c r="CH660" i="99"/>
  <c r="CU660" i="99"/>
  <c r="DH660" i="99"/>
  <c r="DX660" i="99"/>
  <c r="EI660" i="99"/>
  <c r="EV660" i="99"/>
  <c r="FJ660" i="99"/>
  <c r="GL660" i="99"/>
  <c r="GY660" i="99"/>
  <c r="HO660" i="99"/>
  <c r="LJ660" i="99"/>
  <c r="LW660" i="99"/>
  <c r="JK661" i="99"/>
  <c r="LB661" i="99"/>
  <c r="LE662" i="99"/>
  <c r="KW662" i="99"/>
  <c r="KO662" i="99"/>
  <c r="KX662" i="99"/>
  <c r="KJ662" i="99"/>
  <c r="JZ662" i="99"/>
  <c r="JO662" i="99"/>
  <c r="JD662" i="99"/>
  <c r="IT662" i="99"/>
  <c r="II662" i="99"/>
  <c r="KU662" i="99"/>
  <c r="KI662" i="99"/>
  <c r="JY662" i="99"/>
  <c r="JN662" i="99"/>
  <c r="JC662" i="99"/>
  <c r="IS662" i="99"/>
  <c r="IH662" i="99"/>
  <c r="MT662" i="99"/>
  <c r="MF662" i="99"/>
  <c r="KT662" i="99"/>
  <c r="KH662" i="99"/>
  <c r="JW662" i="99"/>
  <c r="JL662" i="99"/>
  <c r="JB662" i="99"/>
  <c r="IQ662" i="99"/>
  <c r="IF662" i="99"/>
  <c r="MQ662" i="99"/>
  <c r="LF662" i="99"/>
  <c r="KR662" i="99"/>
  <c r="KG662" i="99"/>
  <c r="JV662" i="99"/>
  <c r="JK662" i="99"/>
  <c r="JA662" i="99"/>
  <c r="IP662" i="99"/>
  <c r="IE662" i="99"/>
  <c r="MP662" i="99"/>
  <c r="LC662" i="99"/>
  <c r="KQ662" i="99"/>
  <c r="KE662" i="99"/>
  <c r="JT662" i="99"/>
  <c r="JJ662" i="99"/>
  <c r="IY662" i="99"/>
  <c r="IN662" i="99"/>
  <c r="ID662" i="99"/>
  <c r="MN662" i="99"/>
  <c r="LB662" i="99"/>
  <c r="KP662" i="99"/>
  <c r="KD662" i="99"/>
  <c r="JS662" i="99"/>
  <c r="JI662" i="99"/>
  <c r="IX662" i="99"/>
  <c r="IM662" i="99"/>
  <c r="IC662" i="99"/>
  <c r="MM662" i="99"/>
  <c r="KZ662" i="99"/>
  <c r="KM662" i="99"/>
  <c r="KB662" i="99"/>
  <c r="JR662" i="99"/>
  <c r="JG662" i="99"/>
  <c r="IV662" i="99"/>
  <c r="IL662" i="99"/>
  <c r="IA662" i="99"/>
  <c r="KY662" i="99"/>
  <c r="X657" i="99"/>
  <c r="AH657" i="99"/>
  <c r="AR657" i="99"/>
  <c r="BD657" i="99"/>
  <c r="BN657" i="99"/>
  <c r="BX657" i="99"/>
  <c r="CJ657" i="99"/>
  <c r="CT657" i="99"/>
  <c r="DD657" i="99"/>
  <c r="DP657" i="99"/>
  <c r="DZ657" i="99"/>
  <c r="EJ657" i="99"/>
  <c r="EV657" i="99"/>
  <c r="FF657" i="99"/>
  <c r="FP657" i="99"/>
  <c r="GL657" i="99"/>
  <c r="GV657" i="99"/>
  <c r="HH657" i="99"/>
  <c r="HR657" i="99"/>
  <c r="IN657" i="99"/>
  <c r="IX657" i="99"/>
  <c r="JH657" i="99"/>
  <c r="JT657" i="99"/>
  <c r="KD657" i="99"/>
  <c r="KN657" i="99"/>
  <c r="KZ657" i="99"/>
  <c r="LJ657" i="99"/>
  <c r="LT657" i="99"/>
  <c r="MF657" i="99"/>
  <c r="AB658" i="99"/>
  <c r="AN658" i="99"/>
  <c r="AX658" i="99"/>
  <c r="BH658" i="99"/>
  <c r="BT658" i="99"/>
  <c r="CD658" i="99"/>
  <c r="CN658" i="99"/>
  <c r="CZ658" i="99"/>
  <c r="DJ658" i="99"/>
  <c r="DT658" i="99"/>
  <c r="EF658" i="99"/>
  <c r="EP658" i="99"/>
  <c r="EZ658" i="99"/>
  <c r="FL658" i="99"/>
  <c r="FV658" i="99"/>
  <c r="GF658" i="99"/>
  <c r="GR658" i="99"/>
  <c r="HB658" i="99"/>
  <c r="HL658" i="99"/>
  <c r="HX658" i="99"/>
  <c r="IH658" i="99"/>
  <c r="IR658" i="99"/>
  <c r="JD658" i="99"/>
  <c r="JN658" i="99"/>
  <c r="JX658" i="99"/>
  <c r="KJ658" i="99"/>
  <c r="KT658" i="99"/>
  <c r="LD658" i="99"/>
  <c r="LP658" i="99"/>
  <c r="LZ658" i="99"/>
  <c r="MJ658" i="99"/>
  <c r="LI659" i="99"/>
  <c r="LK659" i="99"/>
  <c r="LJ659" i="99"/>
  <c r="X659" i="99"/>
  <c r="AH659" i="99"/>
  <c r="AR659" i="99"/>
  <c r="BD659" i="99"/>
  <c r="BN659" i="99"/>
  <c r="BX659" i="99"/>
  <c r="CJ659" i="99"/>
  <c r="CT659" i="99"/>
  <c r="DD659" i="99"/>
  <c r="DP659" i="99"/>
  <c r="DZ659" i="99"/>
  <c r="EJ659" i="99"/>
  <c r="EV659" i="99"/>
  <c r="FF659" i="99"/>
  <c r="FP659" i="99"/>
  <c r="GB659" i="99"/>
  <c r="GL659" i="99"/>
  <c r="GV659" i="99"/>
  <c r="HH659" i="99"/>
  <c r="HR659" i="99"/>
  <c r="IQ659" i="99"/>
  <c r="JD659" i="99"/>
  <c r="JR659" i="99"/>
  <c r="KH659" i="99"/>
  <c r="KU659" i="99"/>
  <c r="LH659" i="99"/>
  <c r="LX659" i="99"/>
  <c r="AE660" i="99"/>
  <c r="AS660" i="99"/>
  <c r="BF660" i="99"/>
  <c r="BV660" i="99"/>
  <c r="CI660" i="99"/>
  <c r="CW660" i="99"/>
  <c r="DM660" i="99"/>
  <c r="DZ660" i="99"/>
  <c r="EK660" i="99"/>
  <c r="EX660" i="99"/>
  <c r="FN660" i="99"/>
  <c r="GM660" i="99"/>
  <c r="GZ660" i="99"/>
  <c r="HP660" i="99"/>
  <c r="LK660" i="99"/>
  <c r="LX660" i="99"/>
  <c r="MQ661" i="99"/>
  <c r="MF661" i="99"/>
  <c r="MP661" i="99"/>
  <c r="A661" i="99"/>
  <c r="MM661" i="99"/>
  <c r="ML661" i="99"/>
  <c r="MK661" i="99"/>
  <c r="EP661" i="99"/>
  <c r="MT661" i="99"/>
  <c r="MI661" i="99"/>
  <c r="CM661" i="99"/>
  <c r="AE661" i="99"/>
  <c r="IA661" i="99"/>
  <c r="HZ662" i="99"/>
  <c r="IE652" i="99"/>
  <c r="IM652" i="99"/>
  <c r="IU652" i="99"/>
  <c r="JC652" i="99"/>
  <c r="JK652" i="99"/>
  <c r="JS652" i="99"/>
  <c r="KA652" i="99"/>
  <c r="KI652" i="99"/>
  <c r="KQ652" i="99"/>
  <c r="KY652" i="99"/>
  <c r="LO652" i="99"/>
  <c r="LW652" i="99"/>
  <c r="ME652" i="99"/>
  <c r="MM652" i="99"/>
  <c r="FC653" i="99"/>
  <c r="FK653" i="99"/>
  <c r="FS653" i="99"/>
  <c r="GA653" i="99"/>
  <c r="GI653" i="99"/>
  <c r="GQ653" i="99"/>
  <c r="GY653" i="99"/>
  <c r="HG653" i="99"/>
  <c r="HO653" i="99"/>
  <c r="HW653" i="99"/>
  <c r="IE653" i="99"/>
  <c r="IM653" i="99"/>
  <c r="IU653" i="99"/>
  <c r="JC653" i="99"/>
  <c r="JK653" i="99"/>
  <c r="JS653" i="99"/>
  <c r="KA653" i="99"/>
  <c r="KI653" i="99"/>
  <c r="KQ653" i="99"/>
  <c r="KY653" i="99"/>
  <c r="LO653" i="99"/>
  <c r="LW653" i="99"/>
  <c r="ME653" i="99"/>
  <c r="MM653" i="99"/>
  <c r="DG654" i="99"/>
  <c r="DO654" i="99"/>
  <c r="DW654" i="99"/>
  <c r="EE654" i="99"/>
  <c r="EM654" i="99"/>
  <c r="EU654" i="99"/>
  <c r="FC654" i="99"/>
  <c r="FK654" i="99"/>
  <c r="FS654" i="99"/>
  <c r="GA654" i="99"/>
  <c r="GI654" i="99"/>
  <c r="GQ654" i="99"/>
  <c r="GY654" i="99"/>
  <c r="HG654" i="99"/>
  <c r="HO654" i="99"/>
  <c r="HW654" i="99"/>
  <c r="IE654" i="99"/>
  <c r="IM654" i="99"/>
  <c r="IU654" i="99"/>
  <c r="JC654" i="99"/>
  <c r="JK654" i="99"/>
  <c r="JS654" i="99"/>
  <c r="KA654" i="99"/>
  <c r="KJ654" i="99"/>
  <c r="KS654" i="99"/>
  <c r="LB654" i="99"/>
  <c r="LT654" i="99"/>
  <c r="MC654" i="99"/>
  <c r="MT655" i="99"/>
  <c r="ML655" i="99"/>
  <c r="MD655" i="99"/>
  <c r="LV655" i="99"/>
  <c r="LN655" i="99"/>
  <c r="LF655" i="99"/>
  <c r="KX655" i="99"/>
  <c r="KP655" i="99"/>
  <c r="KH655" i="99"/>
  <c r="JZ655" i="99"/>
  <c r="JR655" i="99"/>
  <c r="JJ655" i="99"/>
  <c r="JB655" i="99"/>
  <c r="IT655" i="99"/>
  <c r="IL655" i="99"/>
  <c r="ID655" i="99"/>
  <c r="HV655" i="99"/>
  <c r="HN655" i="99"/>
  <c r="HF655" i="99"/>
  <c r="GX655" i="99"/>
  <c r="GP655" i="99"/>
  <c r="GH655" i="99"/>
  <c r="FZ655" i="99"/>
  <c r="FR655" i="99"/>
  <c r="FJ655" i="99"/>
  <c r="FB655" i="99"/>
  <c r="ET655" i="99"/>
  <c r="EL655" i="99"/>
  <c r="ED655" i="99"/>
  <c r="DV655" i="99"/>
  <c r="DN655" i="99"/>
  <c r="DF655" i="99"/>
  <c r="CX655" i="99"/>
  <c r="CP655" i="99"/>
  <c r="CH655" i="99"/>
  <c r="BZ655" i="99"/>
  <c r="BR655" i="99"/>
  <c r="BJ655" i="99"/>
  <c r="BB655" i="99"/>
  <c r="AT655" i="99"/>
  <c r="AL655" i="99"/>
  <c r="AD655" i="99"/>
  <c r="MS655" i="99"/>
  <c r="MK655" i="99"/>
  <c r="MC655" i="99"/>
  <c r="LU655" i="99"/>
  <c r="LM655" i="99"/>
  <c r="LE655" i="99"/>
  <c r="KW655" i="99"/>
  <c r="KO655" i="99"/>
  <c r="KG655" i="99"/>
  <c r="JY655" i="99"/>
  <c r="JQ655" i="99"/>
  <c r="JI655" i="99"/>
  <c r="JA655" i="99"/>
  <c r="IS655" i="99"/>
  <c r="IK655" i="99"/>
  <c r="IC655" i="99"/>
  <c r="HU655" i="99"/>
  <c r="HM655" i="99"/>
  <c r="HE655" i="99"/>
  <c r="GW655" i="99"/>
  <c r="GO655" i="99"/>
  <c r="GG655" i="99"/>
  <c r="FY655" i="99"/>
  <c r="FQ655" i="99"/>
  <c r="FI655" i="99"/>
  <c r="FA655" i="99"/>
  <c r="ES655" i="99"/>
  <c r="EK655" i="99"/>
  <c r="EC655" i="99"/>
  <c r="DU655" i="99"/>
  <c r="DM655" i="99"/>
  <c r="DE655" i="99"/>
  <c r="CW655" i="99"/>
  <c r="CO655" i="99"/>
  <c r="CG655" i="99"/>
  <c r="BY655" i="99"/>
  <c r="BQ655" i="99"/>
  <c r="BI655" i="99"/>
  <c r="BA655" i="99"/>
  <c r="AS655" i="99"/>
  <c r="AK655" i="99"/>
  <c r="AC655" i="99"/>
  <c r="Y655" i="99"/>
  <c r="AI655" i="99"/>
  <c r="AU655" i="99"/>
  <c r="BE655" i="99"/>
  <c r="BO655" i="99"/>
  <c r="CA655" i="99"/>
  <c r="CK655" i="99"/>
  <c r="CU655" i="99"/>
  <c r="DG655" i="99"/>
  <c r="DQ655" i="99"/>
  <c r="EA655" i="99"/>
  <c r="EM655" i="99"/>
  <c r="EW655" i="99"/>
  <c r="FG655" i="99"/>
  <c r="FS655" i="99"/>
  <c r="GC655" i="99"/>
  <c r="GM655" i="99"/>
  <c r="GY655" i="99"/>
  <c r="HI655" i="99"/>
  <c r="HS655" i="99"/>
  <c r="IE655" i="99"/>
  <c r="IO655" i="99"/>
  <c r="IY655" i="99"/>
  <c r="JK655" i="99"/>
  <c r="JU655" i="99"/>
  <c r="KE655" i="99"/>
  <c r="KQ655" i="99"/>
  <c r="LA655" i="99"/>
  <c r="LW655" i="99"/>
  <c r="MG655" i="99"/>
  <c r="MQ655" i="99"/>
  <c r="MT657" i="99"/>
  <c r="ML657" i="99"/>
  <c r="MD657" i="99"/>
  <c r="LV657" i="99"/>
  <c r="LN657" i="99"/>
  <c r="LF657" i="99"/>
  <c r="KX657" i="99"/>
  <c r="KP657" i="99"/>
  <c r="KH657" i="99"/>
  <c r="JZ657" i="99"/>
  <c r="JR657" i="99"/>
  <c r="JJ657" i="99"/>
  <c r="JB657" i="99"/>
  <c r="IT657" i="99"/>
  <c r="IL657" i="99"/>
  <c r="ID657" i="99"/>
  <c r="HV657" i="99"/>
  <c r="HN657" i="99"/>
  <c r="HF657" i="99"/>
  <c r="GX657" i="99"/>
  <c r="GP657" i="99"/>
  <c r="GH657" i="99"/>
  <c r="FZ657" i="99"/>
  <c r="FR657" i="99"/>
  <c r="FJ657" i="99"/>
  <c r="FB657" i="99"/>
  <c r="ET657" i="99"/>
  <c r="EL657" i="99"/>
  <c r="ED657" i="99"/>
  <c r="DV657" i="99"/>
  <c r="DN657" i="99"/>
  <c r="DF657" i="99"/>
  <c r="CX657" i="99"/>
  <c r="CP657" i="99"/>
  <c r="CH657" i="99"/>
  <c r="BZ657" i="99"/>
  <c r="BR657" i="99"/>
  <c r="BJ657" i="99"/>
  <c r="BB657" i="99"/>
  <c r="AT657" i="99"/>
  <c r="AL657" i="99"/>
  <c r="AD657" i="99"/>
  <c r="MS657" i="99"/>
  <c r="MK657" i="99"/>
  <c r="MC657" i="99"/>
  <c r="LU657" i="99"/>
  <c r="LM657" i="99"/>
  <c r="LE657" i="99"/>
  <c r="KW657" i="99"/>
  <c r="KO657" i="99"/>
  <c r="KG657" i="99"/>
  <c r="JY657" i="99"/>
  <c r="JQ657" i="99"/>
  <c r="JI657" i="99"/>
  <c r="JA657" i="99"/>
  <c r="IS657" i="99"/>
  <c r="IK657" i="99"/>
  <c r="IC657" i="99"/>
  <c r="HU657" i="99"/>
  <c r="HM657" i="99"/>
  <c r="HE657" i="99"/>
  <c r="GW657" i="99"/>
  <c r="GO657" i="99"/>
  <c r="GG657" i="99"/>
  <c r="FY657" i="99"/>
  <c r="FQ657" i="99"/>
  <c r="FI657" i="99"/>
  <c r="FA657" i="99"/>
  <c r="ES657" i="99"/>
  <c r="EK657" i="99"/>
  <c r="EC657" i="99"/>
  <c r="DU657" i="99"/>
  <c r="DM657" i="99"/>
  <c r="DE657" i="99"/>
  <c r="CW657" i="99"/>
  <c r="CO657" i="99"/>
  <c r="CG657" i="99"/>
  <c r="BY657" i="99"/>
  <c r="BQ657" i="99"/>
  <c r="BI657" i="99"/>
  <c r="BA657" i="99"/>
  <c r="AS657" i="99"/>
  <c r="AK657" i="99"/>
  <c r="AC657" i="99"/>
  <c r="Y657" i="99"/>
  <c r="AI657" i="99"/>
  <c r="AU657" i="99"/>
  <c r="BE657" i="99"/>
  <c r="BO657" i="99"/>
  <c r="CA657" i="99"/>
  <c r="CK657" i="99"/>
  <c r="CU657" i="99"/>
  <c r="DG657" i="99"/>
  <c r="DQ657" i="99"/>
  <c r="EA657" i="99"/>
  <c r="EM657" i="99"/>
  <c r="EW657" i="99"/>
  <c r="FG657" i="99"/>
  <c r="FS657" i="99"/>
  <c r="GC657" i="99"/>
  <c r="GM657" i="99"/>
  <c r="GY657" i="99"/>
  <c r="HI657" i="99"/>
  <c r="HS657" i="99"/>
  <c r="IE657" i="99"/>
  <c r="IO657" i="99"/>
  <c r="IY657" i="99"/>
  <c r="JK657" i="99"/>
  <c r="JU657" i="99"/>
  <c r="KE657" i="99"/>
  <c r="KQ657" i="99"/>
  <c r="LA657" i="99"/>
  <c r="LW657" i="99"/>
  <c r="MG657" i="99"/>
  <c r="MQ657" i="99"/>
  <c r="AE658" i="99"/>
  <c r="AO658" i="99"/>
  <c r="AY658" i="99"/>
  <c r="BK658" i="99"/>
  <c r="BU658" i="99"/>
  <c r="CE658" i="99"/>
  <c r="CQ658" i="99"/>
  <c r="DA658" i="99"/>
  <c r="DK658" i="99"/>
  <c r="DW658" i="99"/>
  <c r="EG658" i="99"/>
  <c r="EQ658" i="99"/>
  <c r="FC658" i="99"/>
  <c r="FM658" i="99"/>
  <c r="FW658" i="99"/>
  <c r="GI658" i="99"/>
  <c r="GS658" i="99"/>
  <c r="HC658" i="99"/>
  <c r="HO658" i="99"/>
  <c r="HY658" i="99"/>
  <c r="II658" i="99"/>
  <c r="IU658" i="99"/>
  <c r="JE658" i="99"/>
  <c r="JO658" i="99"/>
  <c r="KA658" i="99"/>
  <c r="KK658" i="99"/>
  <c r="KU658" i="99"/>
  <c r="LQ658" i="99"/>
  <c r="MA658" i="99"/>
  <c r="MM658" i="99"/>
  <c r="MR659" i="99"/>
  <c r="MJ659" i="99"/>
  <c r="MB659" i="99"/>
  <c r="LT659" i="99"/>
  <c r="LL659" i="99"/>
  <c r="LD659" i="99"/>
  <c r="KV659" i="99"/>
  <c r="KN659" i="99"/>
  <c r="KF659" i="99"/>
  <c r="JX659" i="99"/>
  <c r="JP659" i="99"/>
  <c r="JH659" i="99"/>
  <c r="IZ659" i="99"/>
  <c r="IR659" i="99"/>
  <c r="IJ659" i="99"/>
  <c r="IB659" i="99"/>
  <c r="HT659" i="99"/>
  <c r="MO659" i="99"/>
  <c r="MG659" i="99"/>
  <c r="LY659" i="99"/>
  <c r="LQ659" i="99"/>
  <c r="LA659" i="99"/>
  <c r="KS659" i="99"/>
  <c r="KK659" i="99"/>
  <c r="KC659" i="99"/>
  <c r="JU659" i="99"/>
  <c r="JM659" i="99"/>
  <c r="JE659" i="99"/>
  <c r="IW659" i="99"/>
  <c r="MQ659" i="99"/>
  <c r="MF659" i="99"/>
  <c r="LV659" i="99"/>
  <c r="KZ659" i="99"/>
  <c r="KP659" i="99"/>
  <c r="KE659" i="99"/>
  <c r="JT659" i="99"/>
  <c r="JJ659" i="99"/>
  <c r="IY659" i="99"/>
  <c r="IO659" i="99"/>
  <c r="IF659" i="99"/>
  <c r="HW659" i="99"/>
  <c r="HN659" i="99"/>
  <c r="HF659" i="99"/>
  <c r="GX659" i="99"/>
  <c r="GP659" i="99"/>
  <c r="GH659" i="99"/>
  <c r="FZ659" i="99"/>
  <c r="FR659" i="99"/>
  <c r="FJ659" i="99"/>
  <c r="FB659" i="99"/>
  <c r="ET659" i="99"/>
  <c r="EL659" i="99"/>
  <c r="ED659" i="99"/>
  <c r="DV659" i="99"/>
  <c r="DN659" i="99"/>
  <c r="DF659" i="99"/>
  <c r="CX659" i="99"/>
  <c r="CP659" i="99"/>
  <c r="CH659" i="99"/>
  <c r="BZ659" i="99"/>
  <c r="BR659" i="99"/>
  <c r="BJ659" i="99"/>
  <c r="BB659" i="99"/>
  <c r="AT659" i="99"/>
  <c r="AL659" i="99"/>
  <c r="AD659" i="99"/>
  <c r="MP659" i="99"/>
  <c r="ME659" i="99"/>
  <c r="LU659" i="99"/>
  <c r="KY659" i="99"/>
  <c r="KO659" i="99"/>
  <c r="KD659" i="99"/>
  <c r="JS659" i="99"/>
  <c r="JI659" i="99"/>
  <c r="IX659" i="99"/>
  <c r="IN659" i="99"/>
  <c r="IE659" i="99"/>
  <c r="HV659" i="99"/>
  <c r="HM659" i="99"/>
  <c r="HE659" i="99"/>
  <c r="GW659" i="99"/>
  <c r="GO659" i="99"/>
  <c r="GG659" i="99"/>
  <c r="FY659" i="99"/>
  <c r="FQ659" i="99"/>
  <c r="FI659" i="99"/>
  <c r="FA659" i="99"/>
  <c r="ES659" i="99"/>
  <c r="EK659" i="99"/>
  <c r="EC659" i="99"/>
  <c r="DU659" i="99"/>
  <c r="DM659" i="99"/>
  <c r="DE659" i="99"/>
  <c r="CW659" i="99"/>
  <c r="CO659" i="99"/>
  <c r="CG659" i="99"/>
  <c r="BY659" i="99"/>
  <c r="BQ659" i="99"/>
  <c r="BI659" i="99"/>
  <c r="BA659" i="99"/>
  <c r="AS659" i="99"/>
  <c r="AK659" i="99"/>
  <c r="AC659" i="99"/>
  <c r="Y659" i="99"/>
  <c r="AI659" i="99"/>
  <c r="AU659" i="99"/>
  <c r="BE659" i="99"/>
  <c r="BO659" i="99"/>
  <c r="CA659" i="99"/>
  <c r="CK659" i="99"/>
  <c r="CU659" i="99"/>
  <c r="DG659" i="99"/>
  <c r="DQ659" i="99"/>
  <c r="EA659" i="99"/>
  <c r="EM659" i="99"/>
  <c r="EW659" i="99"/>
  <c r="FG659" i="99"/>
  <c r="FS659" i="99"/>
  <c r="GC659" i="99"/>
  <c r="GM659" i="99"/>
  <c r="GY659" i="99"/>
  <c r="HI659" i="99"/>
  <c r="HS659" i="99"/>
  <c r="IG659" i="99"/>
  <c r="IS659" i="99"/>
  <c r="JF659" i="99"/>
  <c r="JV659" i="99"/>
  <c r="KI659" i="99"/>
  <c r="KW659" i="99"/>
  <c r="LM659" i="99"/>
  <c r="LZ659" i="99"/>
  <c r="MM659" i="99"/>
  <c r="ML660" i="99"/>
  <c r="AF660" i="99"/>
  <c r="AT660" i="99"/>
  <c r="BG660" i="99"/>
  <c r="BW660" i="99"/>
  <c r="CJ660" i="99"/>
  <c r="CX660" i="99"/>
  <c r="DN660" i="99"/>
  <c r="EA660" i="99"/>
  <c r="EL660" i="99"/>
  <c r="EY660" i="99"/>
  <c r="FO660" i="99"/>
  <c r="GO660" i="99"/>
  <c r="HE660" i="99"/>
  <c r="HR660" i="99"/>
  <c r="LM660" i="99"/>
  <c r="KZ661" i="99"/>
  <c r="KP661" i="99"/>
  <c r="KE661" i="99"/>
  <c r="JT661" i="99"/>
  <c r="JJ661" i="99"/>
  <c r="IY661" i="99"/>
  <c r="IN661" i="99"/>
  <c r="ID661" i="99"/>
  <c r="KY661" i="99"/>
  <c r="KO661" i="99"/>
  <c r="KD661" i="99"/>
  <c r="JS661" i="99"/>
  <c r="JI661" i="99"/>
  <c r="IX661" i="99"/>
  <c r="IM661" i="99"/>
  <c r="IC661" i="99"/>
  <c r="KW661" i="99"/>
  <c r="KL661" i="99"/>
  <c r="KA661" i="99"/>
  <c r="JQ661" i="99"/>
  <c r="JF661" i="99"/>
  <c r="IU661" i="99"/>
  <c r="IK661" i="99"/>
  <c r="HZ661" i="99"/>
  <c r="LF661" i="99"/>
  <c r="KU661" i="99"/>
  <c r="KJ661" i="99"/>
  <c r="JZ661" i="99"/>
  <c r="JO661" i="99"/>
  <c r="JD661" i="99"/>
  <c r="IT661" i="99"/>
  <c r="II661" i="99"/>
  <c r="LE661" i="99"/>
  <c r="KT661" i="99"/>
  <c r="KI661" i="99"/>
  <c r="JY661" i="99"/>
  <c r="JN661" i="99"/>
  <c r="JC661" i="99"/>
  <c r="IS661" i="99"/>
  <c r="IH661" i="99"/>
  <c r="LC661" i="99"/>
  <c r="KR661" i="99"/>
  <c r="KH661" i="99"/>
  <c r="JW661" i="99"/>
  <c r="JL661" i="99"/>
  <c r="JB661" i="99"/>
  <c r="IQ661" i="99"/>
  <c r="IF661" i="99"/>
  <c r="IE661" i="99"/>
  <c r="JV661" i="99"/>
  <c r="MH661" i="99"/>
  <c r="IK662" i="99"/>
  <c r="L663" i="99"/>
  <c r="M663" i="99" s="1"/>
  <c r="Y652" i="99"/>
  <c r="AG652" i="99"/>
  <c r="AO652" i="99"/>
  <c r="AW652" i="99"/>
  <c r="BE652" i="99"/>
  <c r="BM652" i="99"/>
  <c r="BU652" i="99"/>
  <c r="CC652" i="99"/>
  <c r="CK652" i="99"/>
  <c r="CS652" i="99"/>
  <c r="DA652" i="99"/>
  <c r="DI652" i="99"/>
  <c r="DQ652" i="99"/>
  <c r="DY652" i="99"/>
  <c r="EG652" i="99"/>
  <c r="EO652" i="99"/>
  <c r="EW652" i="99"/>
  <c r="FE652" i="99"/>
  <c r="FM652" i="99"/>
  <c r="FU652" i="99"/>
  <c r="GC652" i="99"/>
  <c r="GK652" i="99"/>
  <c r="GS652" i="99"/>
  <c r="HA652" i="99"/>
  <c r="HI652" i="99"/>
  <c r="HQ652" i="99"/>
  <c r="HY652" i="99"/>
  <c r="IG652" i="99"/>
  <c r="IO652" i="99"/>
  <c r="IW652" i="99"/>
  <c r="JE652" i="99"/>
  <c r="JM652" i="99"/>
  <c r="JU652" i="99"/>
  <c r="KC652" i="99"/>
  <c r="KK652" i="99"/>
  <c r="KS652" i="99"/>
  <c r="LA652" i="99"/>
  <c r="LQ652" i="99"/>
  <c r="LY652" i="99"/>
  <c r="MG652" i="99"/>
  <c r="Y653" i="99"/>
  <c r="AG653" i="99"/>
  <c r="AO653" i="99"/>
  <c r="AW653" i="99"/>
  <c r="BE653" i="99"/>
  <c r="BM653" i="99"/>
  <c r="BU653" i="99"/>
  <c r="CC653" i="99"/>
  <c r="CK653" i="99"/>
  <c r="CS653" i="99"/>
  <c r="DA653" i="99"/>
  <c r="DI653" i="99"/>
  <c r="DQ653" i="99"/>
  <c r="DY653" i="99"/>
  <c r="EG653" i="99"/>
  <c r="EO653" i="99"/>
  <c r="EW653" i="99"/>
  <c r="FE653" i="99"/>
  <c r="FM653" i="99"/>
  <c r="FU653" i="99"/>
  <c r="GC653" i="99"/>
  <c r="GK653" i="99"/>
  <c r="GS653" i="99"/>
  <c r="HA653" i="99"/>
  <c r="HI653" i="99"/>
  <c r="HQ653" i="99"/>
  <c r="HY653" i="99"/>
  <c r="IG653" i="99"/>
  <c r="IO653" i="99"/>
  <c r="IW653" i="99"/>
  <c r="JE653" i="99"/>
  <c r="JM653" i="99"/>
  <c r="JU653" i="99"/>
  <c r="KC653" i="99"/>
  <c r="KK653" i="99"/>
  <c r="KS653" i="99"/>
  <c r="LA653" i="99"/>
  <c r="LQ653" i="99"/>
  <c r="LY653" i="99"/>
  <c r="MG653" i="99"/>
  <c r="MT654" i="99"/>
  <c r="ML654" i="99"/>
  <c r="MD654" i="99"/>
  <c r="LV654" i="99"/>
  <c r="LN654" i="99"/>
  <c r="LF654" i="99"/>
  <c r="KX654" i="99"/>
  <c r="KP654" i="99"/>
  <c r="KH654" i="99"/>
  <c r="MS654" i="99"/>
  <c r="Y654" i="99"/>
  <c r="AG654" i="99"/>
  <c r="AO654" i="99"/>
  <c r="AW654" i="99"/>
  <c r="BE654" i="99"/>
  <c r="BM654" i="99"/>
  <c r="BU654" i="99"/>
  <c r="CC654" i="99"/>
  <c r="CK654" i="99"/>
  <c r="CS654" i="99"/>
  <c r="DA654" i="99"/>
  <c r="DI654" i="99"/>
  <c r="DQ654" i="99"/>
  <c r="DY654" i="99"/>
  <c r="EG654" i="99"/>
  <c r="EO654" i="99"/>
  <c r="EW654" i="99"/>
  <c r="FE654" i="99"/>
  <c r="FM654" i="99"/>
  <c r="FU654" i="99"/>
  <c r="GC654" i="99"/>
  <c r="GK654" i="99"/>
  <c r="GS654" i="99"/>
  <c r="HA654" i="99"/>
  <c r="HI654" i="99"/>
  <c r="HQ654" i="99"/>
  <c r="HY654" i="99"/>
  <c r="IG654" i="99"/>
  <c r="IO654" i="99"/>
  <c r="IW654" i="99"/>
  <c r="JE654" i="99"/>
  <c r="JM654" i="99"/>
  <c r="JU654" i="99"/>
  <c r="KC654" i="99"/>
  <c r="KL654" i="99"/>
  <c r="KU654" i="99"/>
  <c r="LD654" i="99"/>
  <c r="LM654" i="99"/>
  <c r="LW654" i="99"/>
  <c r="MF654" i="99"/>
  <c r="MO654" i="99"/>
  <c r="AA655" i="99"/>
  <c r="AM655" i="99"/>
  <c r="AW655" i="99"/>
  <c r="BG655" i="99"/>
  <c r="BS655" i="99"/>
  <c r="CC655" i="99"/>
  <c r="CM655" i="99"/>
  <c r="CY655" i="99"/>
  <c r="DI655" i="99"/>
  <c r="DS655" i="99"/>
  <c r="EE655" i="99"/>
  <c r="EO655" i="99"/>
  <c r="EY655" i="99"/>
  <c r="FK655" i="99"/>
  <c r="FU655" i="99"/>
  <c r="GE655" i="99"/>
  <c r="GQ655" i="99"/>
  <c r="HA655" i="99"/>
  <c r="HK655" i="99"/>
  <c r="HW655" i="99"/>
  <c r="IG655" i="99"/>
  <c r="IQ655" i="99"/>
  <c r="JC655" i="99"/>
  <c r="JM655" i="99"/>
  <c r="JW655" i="99"/>
  <c r="KI655" i="99"/>
  <c r="KS655" i="99"/>
  <c r="LC655" i="99"/>
  <c r="LO655" i="99"/>
  <c r="LY655" i="99"/>
  <c r="MI655" i="99"/>
  <c r="AA657" i="99"/>
  <c r="AM657" i="99"/>
  <c r="AW657" i="99"/>
  <c r="BG657" i="99"/>
  <c r="BS657" i="99"/>
  <c r="CC657" i="99"/>
  <c r="CM657" i="99"/>
  <c r="CY657" i="99"/>
  <c r="DI657" i="99"/>
  <c r="DS657" i="99"/>
  <c r="EE657" i="99"/>
  <c r="EO657" i="99"/>
  <c r="EY657" i="99"/>
  <c r="FK657" i="99"/>
  <c r="FU657" i="99"/>
  <c r="GE657" i="99"/>
  <c r="GQ657" i="99"/>
  <c r="HA657" i="99"/>
  <c r="HK657" i="99"/>
  <c r="HW657" i="99"/>
  <c r="IG657" i="99"/>
  <c r="IQ657" i="99"/>
  <c r="JC657" i="99"/>
  <c r="JM657" i="99"/>
  <c r="JW657" i="99"/>
  <c r="KI657" i="99"/>
  <c r="KS657" i="99"/>
  <c r="LC657" i="99"/>
  <c r="LO657" i="99"/>
  <c r="LY657" i="99"/>
  <c r="MI657" i="99"/>
  <c r="AG658" i="99"/>
  <c r="AQ658" i="99"/>
  <c r="BC658" i="99"/>
  <c r="BM658" i="99"/>
  <c r="BW658" i="99"/>
  <c r="CI658" i="99"/>
  <c r="CS658" i="99"/>
  <c r="DC658" i="99"/>
  <c r="DO658" i="99"/>
  <c r="DY658" i="99"/>
  <c r="EI658" i="99"/>
  <c r="EU658" i="99"/>
  <c r="FE658" i="99"/>
  <c r="FO658" i="99"/>
  <c r="GA658" i="99"/>
  <c r="GK658" i="99"/>
  <c r="GU658" i="99"/>
  <c r="HG658" i="99"/>
  <c r="HQ658" i="99"/>
  <c r="IA658" i="99"/>
  <c r="IM658" i="99"/>
  <c r="IW658" i="99"/>
  <c r="JG658" i="99"/>
  <c r="JS658" i="99"/>
  <c r="KC658" i="99"/>
  <c r="KM658" i="99"/>
  <c r="KY658" i="99"/>
  <c r="LS658" i="99"/>
  <c r="ME658" i="99"/>
  <c r="MO658" i="99"/>
  <c r="AA659" i="99"/>
  <c r="AM659" i="99"/>
  <c r="AW659" i="99"/>
  <c r="BG659" i="99"/>
  <c r="BS659" i="99"/>
  <c r="CC659" i="99"/>
  <c r="CM659" i="99"/>
  <c r="CY659" i="99"/>
  <c r="DI659" i="99"/>
  <c r="DS659" i="99"/>
  <c r="EE659" i="99"/>
  <c r="EO659" i="99"/>
  <c r="EY659" i="99"/>
  <c r="FK659" i="99"/>
  <c r="FU659" i="99"/>
  <c r="GE659" i="99"/>
  <c r="GQ659" i="99"/>
  <c r="HA659" i="99"/>
  <c r="HK659" i="99"/>
  <c r="HX659" i="99"/>
  <c r="II659" i="99"/>
  <c r="IU659" i="99"/>
  <c r="JK659" i="99"/>
  <c r="JY659" i="99"/>
  <c r="KL659" i="99"/>
  <c r="LB659" i="99"/>
  <c r="LO659" i="99"/>
  <c r="MC659" i="99"/>
  <c r="MS659" i="99"/>
  <c r="MA660" i="99"/>
  <c r="HX660" i="99"/>
  <c r="HN660" i="99"/>
  <c r="HC660" i="99"/>
  <c r="GR660" i="99"/>
  <c r="GH660" i="99"/>
  <c r="LZ660" i="99"/>
  <c r="HW660" i="99"/>
  <c r="HM660" i="99"/>
  <c r="HB660" i="99"/>
  <c r="GQ660" i="99"/>
  <c r="GG660" i="99"/>
  <c r="AI660" i="99"/>
  <c r="AV660" i="99"/>
  <c r="BL660" i="99"/>
  <c r="BZ660" i="99"/>
  <c r="CM660" i="99"/>
  <c r="DC660" i="99"/>
  <c r="DP660" i="99"/>
  <c r="EN660" i="99"/>
  <c r="FD660" i="99"/>
  <c r="FR660" i="99"/>
  <c r="GT660" i="99"/>
  <c r="HG660" i="99"/>
  <c r="HU660" i="99"/>
  <c r="LR660" i="99"/>
  <c r="ME660" i="99"/>
  <c r="IP661" i="99"/>
  <c r="KG661" i="99"/>
  <c r="MS661" i="99"/>
  <c r="JF662" i="99"/>
  <c r="AE664" i="99"/>
  <c r="KD658" i="99"/>
  <c r="KN658" i="99"/>
  <c r="KZ658" i="99"/>
  <c r="LT658" i="99"/>
  <c r="MF658" i="99"/>
  <c r="AB659" i="99"/>
  <c r="AN659" i="99"/>
  <c r="AX659" i="99"/>
  <c r="BH659" i="99"/>
  <c r="BT659" i="99"/>
  <c r="CD659" i="99"/>
  <c r="CN659" i="99"/>
  <c r="CZ659" i="99"/>
  <c r="DJ659" i="99"/>
  <c r="DT659" i="99"/>
  <c r="EF659" i="99"/>
  <c r="EP659" i="99"/>
  <c r="EZ659" i="99"/>
  <c r="FL659" i="99"/>
  <c r="FV659" i="99"/>
  <c r="GF659" i="99"/>
  <c r="GR659" i="99"/>
  <c r="HB659" i="99"/>
  <c r="HL659" i="99"/>
  <c r="HY659" i="99"/>
  <c r="LP659" i="99"/>
  <c r="MD659" i="99"/>
  <c r="AK660" i="99"/>
  <c r="BA660" i="99"/>
  <c r="BN660" i="99"/>
  <c r="CA660" i="99"/>
  <c r="CQ660" i="99"/>
  <c r="DE660" i="99"/>
  <c r="DR660" i="99"/>
  <c r="ES660" i="99"/>
  <c r="FF660" i="99"/>
  <c r="FS660" i="99"/>
  <c r="GU660" i="99"/>
  <c r="HH660" i="99"/>
  <c r="HV660" i="99"/>
  <c r="LS660" i="99"/>
  <c r="IV661" i="99"/>
  <c r="KM661" i="99"/>
  <c r="JQ662" i="99"/>
  <c r="MT658" i="99"/>
  <c r="ML658" i="99"/>
  <c r="MD658" i="99"/>
  <c r="LV658" i="99"/>
  <c r="LN658" i="99"/>
  <c r="LF658" i="99"/>
  <c r="KX658" i="99"/>
  <c r="KP658" i="99"/>
  <c r="KH658" i="99"/>
  <c r="JZ658" i="99"/>
  <c r="JR658" i="99"/>
  <c r="JJ658" i="99"/>
  <c r="JB658" i="99"/>
  <c r="IT658" i="99"/>
  <c r="IL658" i="99"/>
  <c r="ID658" i="99"/>
  <c r="HV658" i="99"/>
  <c r="HN658" i="99"/>
  <c r="HF658" i="99"/>
  <c r="GX658" i="99"/>
  <c r="GP658" i="99"/>
  <c r="GH658" i="99"/>
  <c r="FZ658" i="99"/>
  <c r="FR658" i="99"/>
  <c r="FJ658" i="99"/>
  <c r="FB658" i="99"/>
  <c r="ET658" i="99"/>
  <c r="EL658" i="99"/>
  <c r="ED658" i="99"/>
  <c r="DV658" i="99"/>
  <c r="DN658" i="99"/>
  <c r="DF658" i="99"/>
  <c r="CX658" i="99"/>
  <c r="CP658" i="99"/>
  <c r="CH658" i="99"/>
  <c r="BZ658" i="99"/>
  <c r="BR658" i="99"/>
  <c r="BJ658" i="99"/>
  <c r="BB658" i="99"/>
  <c r="AT658" i="99"/>
  <c r="AL658" i="99"/>
  <c r="AD658" i="99"/>
  <c r="MS658" i="99"/>
  <c r="MK658" i="99"/>
  <c r="MC658" i="99"/>
  <c r="LU658" i="99"/>
  <c r="LM658" i="99"/>
  <c r="LE658" i="99"/>
  <c r="KW658" i="99"/>
  <c r="KO658" i="99"/>
  <c r="KG658" i="99"/>
  <c r="JY658" i="99"/>
  <c r="JQ658" i="99"/>
  <c r="JI658" i="99"/>
  <c r="JA658" i="99"/>
  <c r="IS658" i="99"/>
  <c r="IK658" i="99"/>
  <c r="IC658" i="99"/>
  <c r="HU658" i="99"/>
  <c r="HM658" i="99"/>
  <c r="HE658" i="99"/>
  <c r="GW658" i="99"/>
  <c r="GO658" i="99"/>
  <c r="GG658" i="99"/>
  <c r="FY658" i="99"/>
  <c r="FQ658" i="99"/>
  <c r="FI658" i="99"/>
  <c r="FA658" i="99"/>
  <c r="ES658" i="99"/>
  <c r="EK658" i="99"/>
  <c r="EC658" i="99"/>
  <c r="DU658" i="99"/>
  <c r="DM658" i="99"/>
  <c r="DE658" i="99"/>
  <c r="CW658" i="99"/>
  <c r="CO658" i="99"/>
  <c r="CG658" i="99"/>
  <c r="BY658" i="99"/>
  <c r="BQ658" i="99"/>
  <c r="BI658" i="99"/>
  <c r="BA658" i="99"/>
  <c r="AS658" i="99"/>
  <c r="AK658" i="99"/>
  <c r="AC658" i="99"/>
  <c r="Y658" i="99"/>
  <c r="AI658" i="99"/>
  <c r="AU658" i="99"/>
  <c r="BE658" i="99"/>
  <c r="BO658" i="99"/>
  <c r="CA658" i="99"/>
  <c r="CK658" i="99"/>
  <c r="CU658" i="99"/>
  <c r="DG658" i="99"/>
  <c r="DQ658" i="99"/>
  <c r="EA658" i="99"/>
  <c r="EM658" i="99"/>
  <c r="EW658" i="99"/>
  <c r="FG658" i="99"/>
  <c r="FS658" i="99"/>
  <c r="GC658" i="99"/>
  <c r="GM658" i="99"/>
  <c r="GY658" i="99"/>
  <c r="HI658" i="99"/>
  <c r="HS658" i="99"/>
  <c r="IE658" i="99"/>
  <c r="IO658" i="99"/>
  <c r="IY658" i="99"/>
  <c r="JK658" i="99"/>
  <c r="JU658" i="99"/>
  <c r="KE658" i="99"/>
  <c r="KQ658" i="99"/>
  <c r="LA658" i="99"/>
  <c r="LW658" i="99"/>
  <c r="MG658" i="99"/>
  <c r="MQ658" i="99"/>
  <c r="AE659" i="99"/>
  <c r="AO659" i="99"/>
  <c r="AY659" i="99"/>
  <c r="BK659" i="99"/>
  <c r="BU659" i="99"/>
  <c r="CE659" i="99"/>
  <c r="CQ659" i="99"/>
  <c r="DA659" i="99"/>
  <c r="DK659" i="99"/>
  <c r="DW659" i="99"/>
  <c r="EG659" i="99"/>
  <c r="EQ659" i="99"/>
  <c r="FC659" i="99"/>
  <c r="FM659" i="99"/>
  <c r="FW659" i="99"/>
  <c r="GI659" i="99"/>
  <c r="GS659" i="99"/>
  <c r="HC659" i="99"/>
  <c r="HO659" i="99"/>
  <c r="LE659" i="99"/>
  <c r="A660" i="99"/>
  <c r="X660" i="99"/>
  <c r="AL660" i="99"/>
  <c r="BB660" i="99"/>
  <c r="BO660" i="99"/>
  <c r="CB660" i="99"/>
  <c r="CR660" i="99"/>
  <c r="DF660" i="99"/>
  <c r="DS660" i="99"/>
  <c r="ET660" i="99"/>
  <c r="FG660" i="99"/>
  <c r="FT660" i="99"/>
  <c r="GI660" i="99"/>
  <c r="GW660" i="99"/>
  <c r="HJ660" i="99"/>
  <c r="LG660" i="99"/>
  <c r="LU660" i="99"/>
  <c r="JA661" i="99"/>
  <c r="KQ661" i="99"/>
  <c r="KA662" i="99"/>
  <c r="LM664" i="99"/>
  <c r="FQ664" i="99"/>
  <c r="FI664" i="99"/>
  <c r="FA664" i="99"/>
  <c r="ES664" i="99"/>
  <c r="EK664" i="99"/>
  <c r="EC664" i="99"/>
  <c r="DU664" i="99"/>
  <c r="DM664" i="99"/>
  <c r="DE664" i="99"/>
  <c r="CW664" i="99"/>
  <c r="CO664" i="99"/>
  <c r="CG664" i="99"/>
  <c r="BY664" i="99"/>
  <c r="BQ664" i="99"/>
  <c r="BI664" i="99"/>
  <c r="BA664" i="99"/>
  <c r="AS664" i="99"/>
  <c r="AK664" i="99"/>
  <c r="AC664" i="99"/>
  <c r="LK664" i="99"/>
  <c r="FO664" i="99"/>
  <c r="FG664" i="99"/>
  <c r="EY664" i="99"/>
  <c r="EQ664" i="99"/>
  <c r="EI664" i="99"/>
  <c r="EA664" i="99"/>
  <c r="DS664" i="99"/>
  <c r="DK664" i="99"/>
  <c r="DC664" i="99"/>
  <c r="CU664" i="99"/>
  <c r="CM664" i="99"/>
  <c r="CE664" i="99"/>
  <c r="BW664" i="99"/>
  <c r="BO664" i="99"/>
  <c r="BG664" i="99"/>
  <c r="AY664" i="99"/>
  <c r="AQ664" i="99"/>
  <c r="AI664" i="99"/>
  <c r="AA664" i="99"/>
  <c r="LJ664" i="99"/>
  <c r="FV664" i="99"/>
  <c r="FN664" i="99"/>
  <c r="FF664" i="99"/>
  <c r="EX664" i="99"/>
  <c r="EP664" i="99"/>
  <c r="DZ664" i="99"/>
  <c r="DR664" i="99"/>
  <c r="DJ664" i="99"/>
  <c r="DB664" i="99"/>
  <c r="CT664" i="99"/>
  <c r="CL664" i="99"/>
  <c r="CD664" i="99"/>
  <c r="BV664" i="99"/>
  <c r="BN664" i="99"/>
  <c r="BF664" i="99"/>
  <c r="AX664" i="99"/>
  <c r="AP664" i="99"/>
  <c r="AH664" i="99"/>
  <c r="Z664" i="99"/>
  <c r="LI664" i="99"/>
  <c r="LP664" i="99"/>
  <c r="LH664" i="99"/>
  <c r="FT664" i="99"/>
  <c r="FL664" i="99"/>
  <c r="FD664" i="99"/>
  <c r="EV664" i="99"/>
  <c r="EN664" i="99"/>
  <c r="DX664" i="99"/>
  <c r="DP664" i="99"/>
  <c r="DH664" i="99"/>
  <c r="CZ664" i="99"/>
  <c r="CR664" i="99"/>
  <c r="CJ664" i="99"/>
  <c r="CB664" i="99"/>
  <c r="BT664" i="99"/>
  <c r="BL664" i="99"/>
  <c r="BD664" i="99"/>
  <c r="FK664" i="99"/>
  <c r="DG664" i="99"/>
  <c r="CA664" i="99"/>
  <c r="AV664" i="99"/>
  <c r="AD664" i="99"/>
  <c r="A664" i="99"/>
  <c r="FJ664" i="99"/>
  <c r="DF664" i="99"/>
  <c r="BZ664" i="99"/>
  <c r="AU664" i="99"/>
  <c r="X664" i="99"/>
  <c r="LO664" i="99"/>
  <c r="GX664" i="99"/>
  <c r="FC664" i="99"/>
  <c r="CY664" i="99"/>
  <c r="BS664" i="99"/>
  <c r="AT664" i="99"/>
  <c r="LN664" i="99"/>
  <c r="FB664" i="99"/>
  <c r="CX664" i="99"/>
  <c r="BR664" i="99"/>
  <c r="AN664" i="99"/>
  <c r="LG664" i="99"/>
  <c r="HV664" i="99"/>
  <c r="GP664" i="99"/>
  <c r="EU664" i="99"/>
  <c r="DW664" i="99"/>
  <c r="CQ664" i="99"/>
  <c r="BK664" i="99"/>
  <c r="AM664" i="99"/>
  <c r="ET664" i="99"/>
  <c r="DV664" i="99"/>
  <c r="CP664" i="99"/>
  <c r="BJ664" i="99"/>
  <c r="AL664" i="99"/>
  <c r="FS664" i="99"/>
  <c r="EM664" i="99"/>
  <c r="DO664" i="99"/>
  <c r="CI664" i="99"/>
  <c r="BC664" i="99"/>
  <c r="AF664" i="99"/>
  <c r="CH664" i="99"/>
  <c r="MC662" i="99"/>
  <c r="LU662" i="99"/>
  <c r="AF662" i="99"/>
  <c r="AQ662" i="99"/>
  <c r="BB662" i="99"/>
  <c r="BL662" i="99"/>
  <c r="BW662" i="99"/>
  <c r="CH662" i="99"/>
  <c r="CR662" i="99"/>
  <c r="DC662" i="99"/>
  <c r="DN662" i="99"/>
  <c r="DX662" i="99"/>
  <c r="EI662" i="99"/>
  <c r="ET662" i="99"/>
  <c r="FD662" i="99"/>
  <c r="FO662" i="99"/>
  <c r="GJ662" i="99"/>
  <c r="GU662" i="99"/>
  <c r="HF662" i="99"/>
  <c r="HP662" i="99"/>
  <c r="LN662" i="99"/>
  <c r="LZ662" i="99"/>
  <c r="GJ663" i="99"/>
  <c r="GX663" i="99"/>
  <c r="HJ663" i="99"/>
  <c r="HW663" i="99"/>
  <c r="ME663" i="99"/>
  <c r="MR664" i="99"/>
  <c r="GH664" i="99"/>
  <c r="HN664" i="99"/>
  <c r="IM664" i="99"/>
  <c r="JS664" i="99"/>
  <c r="KY664" i="99"/>
  <c r="ME664" i="99"/>
  <c r="MN665" i="99"/>
  <c r="MD665" i="99"/>
  <c r="LU665" i="99"/>
  <c r="HY665" i="99"/>
  <c r="HP665" i="99"/>
  <c r="HF665" i="99"/>
  <c r="GW665" i="99"/>
  <c r="GN665" i="99"/>
  <c r="MC665" i="99"/>
  <c r="LT665" i="99"/>
  <c r="HX665" i="99"/>
  <c r="HN665" i="99"/>
  <c r="HE665" i="99"/>
  <c r="GV665" i="99"/>
  <c r="GM665" i="99"/>
  <c r="MA665" i="99"/>
  <c r="LR665" i="99"/>
  <c r="HU665" i="99"/>
  <c r="HL665" i="99"/>
  <c r="HC665" i="99"/>
  <c r="GT665" i="99"/>
  <c r="GK665" i="99"/>
  <c r="LZ665" i="99"/>
  <c r="LQ665" i="99"/>
  <c r="HT665" i="99"/>
  <c r="HK665" i="99"/>
  <c r="HB665" i="99"/>
  <c r="GS665" i="99"/>
  <c r="GJ665" i="99"/>
  <c r="LX665" i="99"/>
  <c r="HR665" i="99"/>
  <c r="HI665" i="99"/>
  <c r="GZ665" i="99"/>
  <c r="GP665" i="99"/>
  <c r="GG665" i="99"/>
  <c r="GO665" i="99"/>
  <c r="A662" i="99"/>
  <c r="AH662" i="99"/>
  <c r="AS662" i="99"/>
  <c r="BC662" i="99"/>
  <c r="BN662" i="99"/>
  <c r="BY662" i="99"/>
  <c r="CI662" i="99"/>
  <c r="CT662" i="99"/>
  <c r="DE662" i="99"/>
  <c r="DO662" i="99"/>
  <c r="DZ662" i="99"/>
  <c r="EK662" i="99"/>
  <c r="EU662" i="99"/>
  <c r="FF662" i="99"/>
  <c r="FQ662" i="99"/>
  <c r="GL662" i="99"/>
  <c r="GW662" i="99"/>
  <c r="HG662" i="99"/>
  <c r="HR662" i="99"/>
  <c r="MA662" i="99"/>
  <c r="MS663" i="99"/>
  <c r="MK663" i="99"/>
  <c r="MQ663" i="99"/>
  <c r="MI663" i="99"/>
  <c r="MP663" i="99"/>
  <c r="MH663" i="99"/>
  <c r="GL663" i="99"/>
  <c r="GY663" i="99"/>
  <c r="HK663" i="99"/>
  <c r="HX663" i="99"/>
  <c r="MF663" i="99"/>
  <c r="GI664" i="99"/>
  <c r="HO664" i="99"/>
  <c r="IT664" i="99"/>
  <c r="JZ664" i="99"/>
  <c r="LF664" i="99"/>
  <c r="ML664" i="99"/>
  <c r="LC665" i="99"/>
  <c r="KT665" i="99"/>
  <c r="KK665" i="99"/>
  <c r="KB665" i="99"/>
  <c r="JR665" i="99"/>
  <c r="JI665" i="99"/>
  <c r="IZ665" i="99"/>
  <c r="IQ665" i="99"/>
  <c r="IH665" i="99"/>
  <c r="LE665" i="99"/>
  <c r="KV665" i="99"/>
  <c r="KM665" i="99"/>
  <c r="KD665" i="99"/>
  <c r="JU665" i="99"/>
  <c r="JL665" i="99"/>
  <c r="JB665" i="99"/>
  <c r="IS665" i="99"/>
  <c r="IJ665" i="99"/>
  <c r="GX665" i="99"/>
  <c r="JJ665" i="99"/>
  <c r="LV665" i="99"/>
  <c r="LM662" i="99"/>
  <c r="LI662" i="99"/>
  <c r="X662" i="99"/>
  <c r="AI662" i="99"/>
  <c r="AT662" i="99"/>
  <c r="BD662" i="99"/>
  <c r="BO662" i="99"/>
  <c r="BZ662" i="99"/>
  <c r="CJ662" i="99"/>
  <c r="CU662" i="99"/>
  <c r="DF662" i="99"/>
  <c r="DP662" i="99"/>
  <c r="EA662" i="99"/>
  <c r="EL662" i="99"/>
  <c r="EV662" i="99"/>
  <c r="FG662" i="99"/>
  <c r="FR662" i="99"/>
  <c r="GM662" i="99"/>
  <c r="GX662" i="99"/>
  <c r="HH662" i="99"/>
  <c r="HS662" i="99"/>
  <c r="LP662" i="99"/>
  <c r="MD662" i="99"/>
  <c r="GM663" i="99"/>
  <c r="GZ663" i="99"/>
  <c r="HN663" i="99"/>
  <c r="ML663" i="99"/>
  <c r="MS664" i="99"/>
  <c r="LE664" i="99"/>
  <c r="IU664" i="99"/>
  <c r="KA664" i="99"/>
  <c r="HH665" i="99"/>
  <c r="JT665" i="99"/>
  <c r="MF665" i="99"/>
  <c r="MR662" i="99"/>
  <c r="Z662" i="99"/>
  <c r="AK662" i="99"/>
  <c r="AU662" i="99"/>
  <c r="BF662" i="99"/>
  <c r="BQ662" i="99"/>
  <c r="CA662" i="99"/>
  <c r="CL662" i="99"/>
  <c r="CW662" i="99"/>
  <c r="DG662" i="99"/>
  <c r="DR662" i="99"/>
  <c r="EC662" i="99"/>
  <c r="EM662" i="99"/>
  <c r="EX662" i="99"/>
  <c r="FI662" i="99"/>
  <c r="FS662" i="99"/>
  <c r="GO662" i="99"/>
  <c r="GY662" i="99"/>
  <c r="HJ662" i="99"/>
  <c r="HU662" i="99"/>
  <c r="LR662" i="99"/>
  <c r="ME662" i="99"/>
  <c r="GP663" i="99"/>
  <c r="HB663" i="99"/>
  <c r="MM663" i="99"/>
  <c r="MC664" i="99"/>
  <c r="LU664" i="99"/>
  <c r="HU664" i="99"/>
  <c r="HM664" i="99"/>
  <c r="HE664" i="99"/>
  <c r="GW664" i="99"/>
  <c r="GO664" i="99"/>
  <c r="GG664" i="99"/>
  <c r="MA664" i="99"/>
  <c r="LS664" i="99"/>
  <c r="HS664" i="99"/>
  <c r="HK664" i="99"/>
  <c r="HC664" i="99"/>
  <c r="GU664" i="99"/>
  <c r="GM664" i="99"/>
  <c r="LZ664" i="99"/>
  <c r="LR664" i="99"/>
  <c r="HR664" i="99"/>
  <c r="HJ664" i="99"/>
  <c r="HB664" i="99"/>
  <c r="GT664" i="99"/>
  <c r="GL664" i="99"/>
  <c r="LX664" i="99"/>
  <c r="HX664" i="99"/>
  <c r="HP664" i="99"/>
  <c r="HH664" i="99"/>
  <c r="GZ664" i="99"/>
  <c r="GR664" i="99"/>
  <c r="GJ664" i="99"/>
  <c r="GQ664" i="99"/>
  <c r="HW664" i="99"/>
  <c r="JB664" i="99"/>
  <c r="KH664" i="99"/>
  <c r="L665" i="99"/>
  <c r="HQ665" i="99"/>
  <c r="KC665" i="99"/>
  <c r="MO665" i="99"/>
  <c r="LG662" i="99"/>
  <c r="LS662" i="99"/>
  <c r="MC663" i="99"/>
  <c r="LU663" i="99"/>
  <c r="HU663" i="99"/>
  <c r="HM663" i="99"/>
  <c r="HE663" i="99"/>
  <c r="GW663" i="99"/>
  <c r="GO663" i="99"/>
  <c r="GG663" i="99"/>
  <c r="MA663" i="99"/>
  <c r="LS663" i="99"/>
  <c r="LZ663" i="99"/>
  <c r="LR663" i="99"/>
  <c r="GQ663" i="99"/>
  <c r="HC663" i="99"/>
  <c r="HP663" i="99"/>
  <c r="LV663" i="99"/>
  <c r="MN663" i="99"/>
  <c r="IP664" i="99"/>
  <c r="IH664" i="99"/>
  <c r="KZ664" i="99"/>
  <c r="KR664" i="99"/>
  <c r="KJ664" i="99"/>
  <c r="KB664" i="99"/>
  <c r="JT664" i="99"/>
  <c r="JL664" i="99"/>
  <c r="JD664" i="99"/>
  <c r="IV664" i="99"/>
  <c r="IN664" i="99"/>
  <c r="IF664" i="99"/>
  <c r="JC664" i="99"/>
  <c r="KI664" i="99"/>
  <c r="KL665" i="99"/>
  <c r="MK660" i="99"/>
  <c r="AH661" i="99"/>
  <c r="AS661" i="99"/>
  <c r="BC661" i="99"/>
  <c r="BN661" i="99"/>
  <c r="BY661" i="99"/>
  <c r="CI661" i="99"/>
  <c r="CT661" i="99"/>
  <c r="DE661" i="99"/>
  <c r="DO661" i="99"/>
  <c r="DZ661" i="99"/>
  <c r="EK661" i="99"/>
  <c r="EU661" i="99"/>
  <c r="FF661" i="99"/>
  <c r="FQ661" i="99"/>
  <c r="LJ661" i="99"/>
  <c r="MS662" i="99"/>
  <c r="MK662" i="99"/>
  <c r="M662" i="99"/>
  <c r="AC662" i="99"/>
  <c r="AM662" i="99"/>
  <c r="AX662" i="99"/>
  <c r="BI662" i="99"/>
  <c r="BS662" i="99"/>
  <c r="CD662" i="99"/>
  <c r="CO662" i="99"/>
  <c r="CY662" i="99"/>
  <c r="DJ662" i="99"/>
  <c r="DU662" i="99"/>
  <c r="EP662" i="99"/>
  <c r="FA662" i="99"/>
  <c r="FK662" i="99"/>
  <c r="FV662" i="99"/>
  <c r="GG662" i="99"/>
  <c r="GQ662" i="99"/>
  <c r="HB662" i="99"/>
  <c r="HM662" i="99"/>
  <c r="HW662" i="99"/>
  <c r="LH662" i="99"/>
  <c r="LV662" i="99"/>
  <c r="MH662" i="99"/>
  <c r="A663" i="99"/>
  <c r="IY663" i="99"/>
  <c r="IQ663" i="99"/>
  <c r="II663" i="99"/>
  <c r="LB663" i="99"/>
  <c r="KT663" i="99"/>
  <c r="KL663" i="99"/>
  <c r="KD663" i="99"/>
  <c r="JV663" i="99"/>
  <c r="JN663" i="99"/>
  <c r="AI663" i="99"/>
  <c r="AV663" i="99"/>
  <c r="BJ663" i="99"/>
  <c r="BV663" i="99"/>
  <c r="CI663" i="99"/>
  <c r="CU663" i="99"/>
  <c r="DH663" i="99"/>
  <c r="DV663" i="99"/>
  <c r="EU663" i="99"/>
  <c r="FG663" i="99"/>
  <c r="GR663" i="99"/>
  <c r="HF663" i="99"/>
  <c r="HR663" i="99"/>
  <c r="IE663" i="99"/>
  <c r="IU663" i="99"/>
  <c r="JK663" i="99"/>
  <c r="KH663" i="99"/>
  <c r="KZ663" i="99"/>
  <c r="LW663" i="99"/>
  <c r="MT663" i="99"/>
  <c r="L664" i="99"/>
  <c r="M664" i="99" s="1"/>
  <c r="GY664" i="99"/>
  <c r="JJ664" i="99"/>
  <c r="KP664" i="99"/>
  <c r="LV664" i="99"/>
  <c r="KU665" i="99"/>
  <c r="X661" i="99"/>
  <c r="AI661" i="99"/>
  <c r="AT661" i="99"/>
  <c r="BD661" i="99"/>
  <c r="BO661" i="99"/>
  <c r="BZ661" i="99"/>
  <c r="CJ661" i="99"/>
  <c r="CU661" i="99"/>
  <c r="DF661" i="99"/>
  <c r="DP661" i="99"/>
  <c r="EA661" i="99"/>
  <c r="EL661" i="99"/>
  <c r="EV661" i="99"/>
  <c r="FG661" i="99"/>
  <c r="FR661" i="99"/>
  <c r="LK661" i="99"/>
  <c r="AD662" i="99"/>
  <c r="AN662" i="99"/>
  <c r="AY662" i="99"/>
  <c r="BJ662" i="99"/>
  <c r="BT662" i="99"/>
  <c r="CE662" i="99"/>
  <c r="CP662" i="99"/>
  <c r="CZ662" i="99"/>
  <c r="DK662" i="99"/>
  <c r="DV662" i="99"/>
  <c r="EQ662" i="99"/>
  <c r="FB662" i="99"/>
  <c r="FL662" i="99"/>
  <c r="GH662" i="99"/>
  <c r="GR662" i="99"/>
  <c r="HC662" i="99"/>
  <c r="HN662" i="99"/>
  <c r="HX662" i="99"/>
  <c r="LJ662" i="99"/>
  <c r="LW662" i="99"/>
  <c r="MI662" i="99"/>
  <c r="LM663" i="99"/>
  <c r="FQ663" i="99"/>
  <c r="FI663" i="99"/>
  <c r="FA663" i="99"/>
  <c r="ES663" i="99"/>
  <c r="EK663" i="99"/>
  <c r="EC663" i="99"/>
  <c r="DU663" i="99"/>
  <c r="DM663" i="99"/>
  <c r="DE663" i="99"/>
  <c r="CW663" i="99"/>
  <c r="CO663" i="99"/>
  <c r="CG663" i="99"/>
  <c r="BY663" i="99"/>
  <c r="BQ663" i="99"/>
  <c r="BI663" i="99"/>
  <c r="BA663" i="99"/>
  <c r="AS663" i="99"/>
  <c r="AK663" i="99"/>
  <c r="AC663" i="99"/>
  <c r="LK663" i="99"/>
  <c r="LJ663" i="99"/>
  <c r="LI663" i="99"/>
  <c r="X663" i="99"/>
  <c r="AL663" i="99"/>
  <c r="AX663" i="99"/>
  <c r="BK663" i="99"/>
  <c r="BW663" i="99"/>
  <c r="CJ663" i="99"/>
  <c r="CX663" i="99"/>
  <c r="DJ663" i="99"/>
  <c r="DW663" i="99"/>
  <c r="EI663" i="99"/>
  <c r="EV663" i="99"/>
  <c r="FJ663" i="99"/>
  <c r="FV663" i="99"/>
  <c r="GH663" i="99"/>
  <c r="GT663" i="99"/>
  <c r="HG663" i="99"/>
  <c r="HS663" i="99"/>
  <c r="IF663" i="99"/>
  <c r="IV663" i="99"/>
  <c r="JL663" i="99"/>
  <c r="KI663" i="99"/>
  <c r="LF663" i="99"/>
  <c r="LX663" i="99"/>
  <c r="HF664" i="99"/>
  <c r="IE664" i="99"/>
  <c r="JK664" i="99"/>
  <c r="KQ664" i="99"/>
  <c r="LW664" i="99"/>
  <c r="II665" i="99"/>
  <c r="LD665" i="99"/>
  <c r="MF664" i="99"/>
  <c r="MN664" i="99"/>
  <c r="X665" i="99"/>
  <c r="AF665" i="99"/>
  <c r="AN665" i="99"/>
  <c r="AV665" i="99"/>
  <c r="BD665" i="99"/>
  <c r="BL665" i="99"/>
  <c r="BT665" i="99"/>
  <c r="CB665" i="99"/>
  <c r="CJ665" i="99"/>
  <c r="CR665" i="99"/>
  <c r="CZ665" i="99"/>
  <c r="DH665" i="99"/>
  <c r="DP665" i="99"/>
  <c r="DX665" i="99"/>
  <c r="EN665" i="99"/>
  <c r="EW665" i="99"/>
  <c r="FF665" i="99"/>
  <c r="FO665" i="99"/>
  <c r="LN665" i="99"/>
  <c r="MG665" i="99"/>
  <c r="MP665" i="99"/>
  <c r="A666" i="99"/>
  <c r="M666" i="99"/>
  <c r="AA666" i="99"/>
  <c r="AJ666" i="99"/>
  <c r="AS666" i="99"/>
  <c r="BB666" i="99"/>
  <c r="BL666" i="99"/>
  <c r="BU666" i="99"/>
  <c r="CD666" i="99"/>
  <c r="CM666" i="99"/>
  <c r="CV666" i="99"/>
  <c r="DE666" i="99"/>
  <c r="DN666" i="99"/>
  <c r="DX666" i="99"/>
  <c r="EG666" i="99"/>
  <c r="EP666" i="99"/>
  <c r="EY666" i="99"/>
  <c r="FH666" i="99"/>
  <c r="FQ666" i="99"/>
  <c r="FZ666" i="99"/>
  <c r="GJ666" i="99"/>
  <c r="GS666" i="99"/>
  <c r="HB666" i="99"/>
  <c r="HK666" i="99"/>
  <c r="HV666" i="99"/>
  <c r="IH666" i="99"/>
  <c r="IV666" i="99"/>
  <c r="JG666" i="99"/>
  <c r="JW666" i="99"/>
  <c r="KM666" i="99"/>
  <c r="LC666" i="99"/>
  <c r="LS666" i="99"/>
  <c r="MI666" i="99"/>
  <c r="AA667" i="99"/>
  <c r="AQ667" i="99"/>
  <c r="BG667" i="99"/>
  <c r="BW667" i="99"/>
  <c r="CM667" i="99"/>
  <c r="DC667" i="99"/>
  <c r="DS667" i="99"/>
  <c r="EI667" i="99"/>
  <c r="EY667" i="99"/>
  <c r="FO667" i="99"/>
  <c r="GU667" i="99"/>
  <c r="HK667" i="99"/>
  <c r="LS667" i="99"/>
  <c r="AA668" i="99"/>
  <c r="AQ668" i="99"/>
  <c r="BG668" i="99"/>
  <c r="BW668" i="99"/>
  <c r="CM668" i="99"/>
  <c r="DC668" i="99"/>
  <c r="DT668" i="99"/>
  <c r="EL668" i="99"/>
  <c r="FE668" i="99"/>
  <c r="GO668" i="99"/>
  <c r="HI668" i="99"/>
  <c r="LL668" i="99"/>
  <c r="DI669" i="99"/>
  <c r="EI669" i="99"/>
  <c r="FM669" i="99"/>
  <c r="GO669" i="99"/>
  <c r="HQ669" i="99"/>
  <c r="IS669" i="99"/>
  <c r="JW669" i="99"/>
  <c r="KW669" i="99"/>
  <c r="MA669" i="99"/>
  <c r="BP670" i="99"/>
  <c r="CW670" i="99"/>
  <c r="GJ671" i="99"/>
  <c r="Y660" i="99"/>
  <c r="AG660" i="99"/>
  <c r="AO660" i="99"/>
  <c r="AW660" i="99"/>
  <c r="BE660" i="99"/>
  <c r="BM660" i="99"/>
  <c r="BU660" i="99"/>
  <c r="CC660" i="99"/>
  <c r="CK660" i="99"/>
  <c r="CS660" i="99"/>
  <c r="DA660" i="99"/>
  <c r="DI660" i="99"/>
  <c r="DQ660" i="99"/>
  <c r="DY660" i="99"/>
  <c r="EG660" i="99"/>
  <c r="EO660" i="99"/>
  <c r="EW660" i="99"/>
  <c r="FE660" i="99"/>
  <c r="FM660" i="99"/>
  <c r="FU660" i="99"/>
  <c r="GC660" i="99"/>
  <c r="GK660" i="99"/>
  <c r="GS660" i="99"/>
  <c r="HA660" i="99"/>
  <c r="HI660" i="99"/>
  <c r="HQ660" i="99"/>
  <c r="HY660" i="99"/>
  <c r="IG660" i="99"/>
  <c r="IO660" i="99"/>
  <c r="IW660" i="99"/>
  <c r="JE660" i="99"/>
  <c r="JM660" i="99"/>
  <c r="JU660" i="99"/>
  <c r="KC660" i="99"/>
  <c r="KK660" i="99"/>
  <c r="KS660" i="99"/>
  <c r="LA660" i="99"/>
  <c r="LQ660" i="99"/>
  <c r="LY660" i="99"/>
  <c r="MG660" i="99"/>
  <c r="MO660" i="99"/>
  <c r="Y661" i="99"/>
  <c r="AG661" i="99"/>
  <c r="AO661" i="99"/>
  <c r="AW661" i="99"/>
  <c r="BE661" i="99"/>
  <c r="BM661" i="99"/>
  <c r="BU661" i="99"/>
  <c r="CC661" i="99"/>
  <c r="CK661" i="99"/>
  <c r="CS661" i="99"/>
  <c r="DA661" i="99"/>
  <c r="DI661" i="99"/>
  <c r="DQ661" i="99"/>
  <c r="DY661" i="99"/>
  <c r="EG661" i="99"/>
  <c r="EO661" i="99"/>
  <c r="EW661" i="99"/>
  <c r="FE661" i="99"/>
  <c r="FM661" i="99"/>
  <c r="FU661" i="99"/>
  <c r="GC661" i="99"/>
  <c r="GK661" i="99"/>
  <c r="GS661" i="99"/>
  <c r="HA661" i="99"/>
  <c r="HI661" i="99"/>
  <c r="HQ661" i="99"/>
  <c r="HY661" i="99"/>
  <c r="IG661" i="99"/>
  <c r="IO661" i="99"/>
  <c r="IW661" i="99"/>
  <c r="JE661" i="99"/>
  <c r="JM661" i="99"/>
  <c r="JU661" i="99"/>
  <c r="KC661" i="99"/>
  <c r="KK661" i="99"/>
  <c r="KS661" i="99"/>
  <c r="LA661" i="99"/>
  <c r="LQ661" i="99"/>
  <c r="LY661" i="99"/>
  <c r="MG661" i="99"/>
  <c r="MO661" i="99"/>
  <c r="Y662" i="99"/>
  <c r="AG662" i="99"/>
  <c r="AO662" i="99"/>
  <c r="AW662" i="99"/>
  <c r="BE662" i="99"/>
  <c r="BM662" i="99"/>
  <c r="BU662" i="99"/>
  <c r="CC662" i="99"/>
  <c r="CK662" i="99"/>
  <c r="CS662" i="99"/>
  <c r="DA662" i="99"/>
  <c r="DI662" i="99"/>
  <c r="DQ662" i="99"/>
  <c r="DY662" i="99"/>
  <c r="EG662" i="99"/>
  <c r="EO662" i="99"/>
  <c r="EW662" i="99"/>
  <c r="FE662" i="99"/>
  <c r="FM662" i="99"/>
  <c r="FU662" i="99"/>
  <c r="GC662" i="99"/>
  <c r="GK662" i="99"/>
  <c r="GS662" i="99"/>
  <c r="HA662" i="99"/>
  <c r="HI662" i="99"/>
  <c r="HQ662" i="99"/>
  <c r="HY662" i="99"/>
  <c r="IG662" i="99"/>
  <c r="IO662" i="99"/>
  <c r="IW662" i="99"/>
  <c r="JE662" i="99"/>
  <c r="JM662" i="99"/>
  <c r="JU662" i="99"/>
  <c r="KC662" i="99"/>
  <c r="KK662" i="99"/>
  <c r="KS662" i="99"/>
  <c r="LA662" i="99"/>
  <c r="LQ662" i="99"/>
  <c r="LY662" i="99"/>
  <c r="MG662" i="99"/>
  <c r="MO662" i="99"/>
  <c r="Y663" i="99"/>
  <c r="AG663" i="99"/>
  <c r="AO663" i="99"/>
  <c r="AW663" i="99"/>
  <c r="BE663" i="99"/>
  <c r="BM663" i="99"/>
  <c r="BU663" i="99"/>
  <c r="CC663" i="99"/>
  <c r="CK663" i="99"/>
  <c r="CS663" i="99"/>
  <c r="DA663" i="99"/>
  <c r="DI663" i="99"/>
  <c r="DQ663" i="99"/>
  <c r="DY663" i="99"/>
  <c r="EG663" i="99"/>
  <c r="EO663" i="99"/>
  <c r="EW663" i="99"/>
  <c r="FE663" i="99"/>
  <c r="FM663" i="99"/>
  <c r="FU663" i="99"/>
  <c r="GC663" i="99"/>
  <c r="GK663" i="99"/>
  <c r="GS663" i="99"/>
  <c r="HA663" i="99"/>
  <c r="HI663" i="99"/>
  <c r="HQ663" i="99"/>
  <c r="HY663" i="99"/>
  <c r="IG663" i="99"/>
  <c r="IO663" i="99"/>
  <c r="IW663" i="99"/>
  <c r="JE663" i="99"/>
  <c r="JM663" i="99"/>
  <c r="JU663" i="99"/>
  <c r="KC663" i="99"/>
  <c r="KK663" i="99"/>
  <c r="KS663" i="99"/>
  <c r="LA663" i="99"/>
  <c r="LQ663" i="99"/>
  <c r="LY663" i="99"/>
  <c r="MG663" i="99"/>
  <c r="MO663" i="99"/>
  <c r="Y664" i="99"/>
  <c r="AG664" i="99"/>
  <c r="AO664" i="99"/>
  <c r="AW664" i="99"/>
  <c r="BE664" i="99"/>
  <c r="BM664" i="99"/>
  <c r="BU664" i="99"/>
  <c r="CC664" i="99"/>
  <c r="CK664" i="99"/>
  <c r="CS664" i="99"/>
  <c r="DA664" i="99"/>
  <c r="DI664" i="99"/>
  <c r="DQ664" i="99"/>
  <c r="DY664" i="99"/>
  <c r="EG664" i="99"/>
  <c r="EO664" i="99"/>
  <c r="EW664" i="99"/>
  <c r="FE664" i="99"/>
  <c r="FM664" i="99"/>
  <c r="FU664" i="99"/>
  <c r="GC664" i="99"/>
  <c r="GK664" i="99"/>
  <c r="GS664" i="99"/>
  <c r="HA664" i="99"/>
  <c r="HI664" i="99"/>
  <c r="HQ664" i="99"/>
  <c r="HY664" i="99"/>
  <c r="IG664" i="99"/>
  <c r="IO664" i="99"/>
  <c r="IW664" i="99"/>
  <c r="JE664" i="99"/>
  <c r="JM664" i="99"/>
  <c r="JU664" i="99"/>
  <c r="KC664" i="99"/>
  <c r="KK664" i="99"/>
  <c r="KS664" i="99"/>
  <c r="LA664" i="99"/>
  <c r="LQ664" i="99"/>
  <c r="LY664" i="99"/>
  <c r="MG664" i="99"/>
  <c r="MO664" i="99"/>
  <c r="MM665" i="99"/>
  <c r="ME665" i="99"/>
  <c r="LW665" i="99"/>
  <c r="LO665" i="99"/>
  <c r="KY665" i="99"/>
  <c r="KQ665" i="99"/>
  <c r="KI665" i="99"/>
  <c r="KA665" i="99"/>
  <c r="JS665" i="99"/>
  <c r="JK665" i="99"/>
  <c r="JC665" i="99"/>
  <c r="IU665" i="99"/>
  <c r="IM665" i="99"/>
  <c r="IE665" i="99"/>
  <c r="HW665" i="99"/>
  <c r="HO665" i="99"/>
  <c r="HG665" i="99"/>
  <c r="GY665" i="99"/>
  <c r="GQ665" i="99"/>
  <c r="GI665" i="99"/>
  <c r="GA665" i="99"/>
  <c r="FS665" i="99"/>
  <c r="FK665" i="99"/>
  <c r="FC665" i="99"/>
  <c r="EU665" i="99"/>
  <c r="Y665" i="99"/>
  <c r="AG665" i="99"/>
  <c r="AO665" i="99"/>
  <c r="AW665" i="99"/>
  <c r="BE665" i="99"/>
  <c r="BM665" i="99"/>
  <c r="BU665" i="99"/>
  <c r="CC665" i="99"/>
  <c r="CK665" i="99"/>
  <c r="CS665" i="99"/>
  <c r="DA665" i="99"/>
  <c r="DI665" i="99"/>
  <c r="DQ665" i="99"/>
  <c r="DY665" i="99"/>
  <c r="EG665" i="99"/>
  <c r="EO665" i="99"/>
  <c r="EX665" i="99"/>
  <c r="FG665" i="99"/>
  <c r="FP665" i="99"/>
  <c r="FY665" i="99"/>
  <c r="GH665" i="99"/>
  <c r="GR665" i="99"/>
  <c r="HA665" i="99"/>
  <c r="HJ665" i="99"/>
  <c r="HS665" i="99"/>
  <c r="IB665" i="99"/>
  <c r="IK665" i="99"/>
  <c r="IT665" i="99"/>
  <c r="JD665" i="99"/>
  <c r="JM665" i="99"/>
  <c r="JV665" i="99"/>
  <c r="KE665" i="99"/>
  <c r="KN665" i="99"/>
  <c r="KW665" i="99"/>
  <c r="LF665" i="99"/>
  <c r="LP665" i="99"/>
  <c r="LY665" i="99"/>
  <c r="MH665" i="99"/>
  <c r="MQ665" i="99"/>
  <c r="AB666" i="99"/>
  <c r="AK666" i="99"/>
  <c r="AT666" i="99"/>
  <c r="BD666" i="99"/>
  <c r="BM666" i="99"/>
  <c r="BV666" i="99"/>
  <c r="CE666" i="99"/>
  <c r="CN666" i="99"/>
  <c r="CW666" i="99"/>
  <c r="DF666" i="99"/>
  <c r="DP666" i="99"/>
  <c r="DY666" i="99"/>
  <c r="EH666" i="99"/>
  <c r="EQ666" i="99"/>
  <c r="EZ666" i="99"/>
  <c r="FI666" i="99"/>
  <c r="FR666" i="99"/>
  <c r="GB666" i="99"/>
  <c r="GK666" i="99"/>
  <c r="GT666" i="99"/>
  <c r="HC666" i="99"/>
  <c r="HL666" i="99"/>
  <c r="HX666" i="99"/>
  <c r="II666" i="99"/>
  <c r="IW666" i="99"/>
  <c r="JH666" i="99"/>
  <c r="JX666" i="99"/>
  <c r="KN666" i="99"/>
  <c r="LD666" i="99"/>
  <c r="LT666" i="99"/>
  <c r="MJ666" i="99"/>
  <c r="A667" i="99"/>
  <c r="M667" i="99"/>
  <c r="AB667" i="99"/>
  <c r="AR667" i="99"/>
  <c r="BH667" i="99"/>
  <c r="BX667" i="99"/>
  <c r="CN667" i="99"/>
  <c r="DD667" i="99"/>
  <c r="DT667" i="99"/>
  <c r="EJ667" i="99"/>
  <c r="EZ667" i="99"/>
  <c r="FP667" i="99"/>
  <c r="GF667" i="99"/>
  <c r="GV667" i="99"/>
  <c r="HL667" i="99"/>
  <c r="LT667" i="99"/>
  <c r="MJ667" i="99"/>
  <c r="A668" i="99"/>
  <c r="MQ668" i="99"/>
  <c r="MG668" i="99"/>
  <c r="M668" i="99"/>
  <c r="AB668" i="99"/>
  <c r="AR668" i="99"/>
  <c r="BH668" i="99"/>
  <c r="BX668" i="99"/>
  <c r="CN668" i="99"/>
  <c r="DD668" i="99"/>
  <c r="DU668" i="99"/>
  <c r="EM668" i="99"/>
  <c r="FF668" i="99"/>
  <c r="FX668" i="99"/>
  <c r="GP668" i="99"/>
  <c r="HJ668" i="99"/>
  <c r="LR668" i="99"/>
  <c r="MR668" i="99"/>
  <c r="AC669" i="99"/>
  <c r="BG669" i="99"/>
  <c r="CG669" i="99"/>
  <c r="DK669" i="99"/>
  <c r="EO669" i="99"/>
  <c r="FO669" i="99"/>
  <c r="GS669" i="99"/>
  <c r="HU669" i="99"/>
  <c r="IW669" i="99"/>
  <c r="JY669" i="99"/>
  <c r="LC669" i="99"/>
  <c r="MC669" i="99"/>
  <c r="BR670" i="99"/>
  <c r="CY670" i="99"/>
  <c r="GX671" i="99"/>
  <c r="IX664" i="99"/>
  <c r="JF664" i="99"/>
  <c r="JN664" i="99"/>
  <c r="JV664" i="99"/>
  <c r="KD664" i="99"/>
  <c r="KL664" i="99"/>
  <c r="KT664" i="99"/>
  <c r="LB664" i="99"/>
  <c r="MH664" i="99"/>
  <c r="MP664" i="99"/>
  <c r="Z665" i="99"/>
  <c r="AH665" i="99"/>
  <c r="AP665" i="99"/>
  <c r="AX665" i="99"/>
  <c r="BF665" i="99"/>
  <c r="BN665" i="99"/>
  <c r="BV665" i="99"/>
  <c r="CD665" i="99"/>
  <c r="CL665" i="99"/>
  <c r="CT665" i="99"/>
  <c r="DB665" i="99"/>
  <c r="DJ665" i="99"/>
  <c r="DR665" i="99"/>
  <c r="DZ665" i="99"/>
  <c r="EP665" i="99"/>
  <c r="EY665" i="99"/>
  <c r="FH665" i="99"/>
  <c r="FQ665" i="99"/>
  <c r="IC665" i="99"/>
  <c r="IL665" i="99"/>
  <c r="IV665" i="99"/>
  <c r="JE665" i="99"/>
  <c r="JN665" i="99"/>
  <c r="JW665" i="99"/>
  <c r="KF665" i="99"/>
  <c r="KO665" i="99"/>
  <c r="KX665" i="99"/>
  <c r="LH665" i="99"/>
  <c r="MI665" i="99"/>
  <c r="MR665" i="99"/>
  <c r="AC666" i="99"/>
  <c r="AL666" i="99"/>
  <c r="AV666" i="99"/>
  <c r="BE666" i="99"/>
  <c r="BN666" i="99"/>
  <c r="BW666" i="99"/>
  <c r="CF666" i="99"/>
  <c r="CO666" i="99"/>
  <c r="CX666" i="99"/>
  <c r="DH666" i="99"/>
  <c r="DQ666" i="99"/>
  <c r="DZ666" i="99"/>
  <c r="EI666" i="99"/>
  <c r="ER666" i="99"/>
  <c r="FA666" i="99"/>
  <c r="FJ666" i="99"/>
  <c r="FT666" i="99"/>
  <c r="GC666" i="99"/>
  <c r="GL666" i="99"/>
  <c r="GU666" i="99"/>
  <c r="HD666" i="99"/>
  <c r="HN666" i="99"/>
  <c r="HY666" i="99"/>
  <c r="IJ666" i="99"/>
  <c r="IX666" i="99"/>
  <c r="JL666" i="99"/>
  <c r="KB666" i="99"/>
  <c r="KR666" i="99"/>
  <c r="LH666" i="99"/>
  <c r="LX666" i="99"/>
  <c r="MN666" i="99"/>
  <c r="AF667" i="99"/>
  <c r="AV667" i="99"/>
  <c r="BL667" i="99"/>
  <c r="CB667" i="99"/>
  <c r="CR667" i="99"/>
  <c r="DH667" i="99"/>
  <c r="DX667" i="99"/>
  <c r="EN667" i="99"/>
  <c r="FD667" i="99"/>
  <c r="FT667" i="99"/>
  <c r="GJ667" i="99"/>
  <c r="GZ667" i="99"/>
  <c r="HP667" i="99"/>
  <c r="LH667" i="99"/>
  <c r="LX667" i="99"/>
  <c r="AF668" i="99"/>
  <c r="AV668" i="99"/>
  <c r="BL668" i="99"/>
  <c r="CB668" i="99"/>
  <c r="CR668" i="99"/>
  <c r="DH668" i="99"/>
  <c r="DZ668" i="99"/>
  <c r="ER668" i="99"/>
  <c r="FJ668" i="99"/>
  <c r="GC668" i="99"/>
  <c r="GU668" i="99"/>
  <c r="HN668" i="99"/>
  <c r="LT668" i="99"/>
  <c r="AG669" i="99"/>
  <c r="BI669" i="99"/>
  <c r="CM669" i="99"/>
  <c r="DM669" i="99"/>
  <c r="EQ669" i="99"/>
  <c r="FU669" i="99"/>
  <c r="GU669" i="99"/>
  <c r="HY669" i="99"/>
  <c r="JA669" i="99"/>
  <c r="KC669" i="99"/>
  <c r="LE669" i="99"/>
  <c r="BX670" i="99"/>
  <c r="DA670" i="99"/>
  <c r="HN671" i="99"/>
  <c r="JG663" i="99"/>
  <c r="JO663" i="99"/>
  <c r="JW663" i="99"/>
  <c r="KE663" i="99"/>
  <c r="KM663" i="99"/>
  <c r="KU663" i="99"/>
  <c r="LC663" i="99"/>
  <c r="IA664" i="99"/>
  <c r="II664" i="99"/>
  <c r="IQ664" i="99"/>
  <c r="IY664" i="99"/>
  <c r="JG664" i="99"/>
  <c r="JO664" i="99"/>
  <c r="JW664" i="99"/>
  <c r="KE664" i="99"/>
  <c r="KM664" i="99"/>
  <c r="KU664" i="99"/>
  <c r="LC664" i="99"/>
  <c r="MI664" i="99"/>
  <c r="MQ664" i="99"/>
  <c r="M665" i="99"/>
  <c r="AA665" i="99"/>
  <c r="AI665" i="99"/>
  <c r="AQ665" i="99"/>
  <c r="AY665" i="99"/>
  <c r="BG665" i="99"/>
  <c r="BO665" i="99"/>
  <c r="BW665" i="99"/>
  <c r="CE665" i="99"/>
  <c r="CM665" i="99"/>
  <c r="CU665" i="99"/>
  <c r="DC665" i="99"/>
  <c r="DK665" i="99"/>
  <c r="DS665" i="99"/>
  <c r="EA665" i="99"/>
  <c r="EI665" i="99"/>
  <c r="EQ665" i="99"/>
  <c r="EZ665" i="99"/>
  <c r="FI665" i="99"/>
  <c r="FR665" i="99"/>
  <c r="ID665" i="99"/>
  <c r="IN665" i="99"/>
  <c r="IW665" i="99"/>
  <c r="JF665" i="99"/>
  <c r="JO665" i="99"/>
  <c r="JX665" i="99"/>
  <c r="KG665" i="99"/>
  <c r="KP665" i="99"/>
  <c r="KZ665" i="99"/>
  <c r="LI665" i="99"/>
  <c r="MJ665" i="99"/>
  <c r="MS665" i="99"/>
  <c r="AD666" i="99"/>
  <c r="AN666" i="99"/>
  <c r="AW666" i="99"/>
  <c r="BF666" i="99"/>
  <c r="BO666" i="99"/>
  <c r="BX666" i="99"/>
  <c r="CG666" i="99"/>
  <c r="CP666" i="99"/>
  <c r="CZ666" i="99"/>
  <c r="DI666" i="99"/>
  <c r="DR666" i="99"/>
  <c r="EA666" i="99"/>
  <c r="EJ666" i="99"/>
  <c r="ES666" i="99"/>
  <c r="FB666" i="99"/>
  <c r="FL666" i="99"/>
  <c r="FU666" i="99"/>
  <c r="GD666" i="99"/>
  <c r="GM666" i="99"/>
  <c r="GV666" i="99"/>
  <c r="HE666" i="99"/>
  <c r="HP666" i="99"/>
  <c r="HZ666" i="99"/>
  <c r="IN666" i="99"/>
  <c r="IY666" i="99"/>
  <c r="JN666" i="99"/>
  <c r="KD666" i="99"/>
  <c r="KT666" i="99"/>
  <c r="LJ666" i="99"/>
  <c r="LZ666" i="99"/>
  <c r="MP666" i="99"/>
  <c r="AH667" i="99"/>
  <c r="AX667" i="99"/>
  <c r="BN667" i="99"/>
  <c r="CD667" i="99"/>
  <c r="CT667" i="99"/>
  <c r="DJ667" i="99"/>
  <c r="DZ667" i="99"/>
  <c r="EP667" i="99"/>
  <c r="FF667" i="99"/>
  <c r="FV667" i="99"/>
  <c r="GL667" i="99"/>
  <c r="HB667" i="99"/>
  <c r="HR667" i="99"/>
  <c r="LJ667" i="99"/>
  <c r="LZ667" i="99"/>
  <c r="AH668" i="99"/>
  <c r="AX668" i="99"/>
  <c r="BN668" i="99"/>
  <c r="CD668" i="99"/>
  <c r="CT668" i="99"/>
  <c r="DJ668" i="99"/>
  <c r="EB668" i="99"/>
  <c r="ET668" i="99"/>
  <c r="FM668" i="99"/>
  <c r="GE668" i="99"/>
  <c r="GW668" i="99"/>
  <c r="HR668" i="99"/>
  <c r="LV668" i="99"/>
  <c r="MN669" i="99"/>
  <c r="MF669" i="99"/>
  <c r="LX669" i="99"/>
  <c r="LP669" i="99"/>
  <c r="KZ669" i="99"/>
  <c r="KR669" i="99"/>
  <c r="KJ669" i="99"/>
  <c r="KB669" i="99"/>
  <c r="JT669" i="99"/>
  <c r="JL669" i="99"/>
  <c r="JD669" i="99"/>
  <c r="IV669" i="99"/>
  <c r="IN669" i="99"/>
  <c r="IF669" i="99"/>
  <c r="HX669" i="99"/>
  <c r="HP669" i="99"/>
  <c r="HH669" i="99"/>
  <c r="GZ669" i="99"/>
  <c r="GR669" i="99"/>
  <c r="GJ669" i="99"/>
  <c r="GB669" i="99"/>
  <c r="FT669" i="99"/>
  <c r="FL669" i="99"/>
  <c r="FD669" i="99"/>
  <c r="EV669" i="99"/>
  <c r="EN669" i="99"/>
  <c r="EF669" i="99"/>
  <c r="DX669" i="99"/>
  <c r="DP669" i="99"/>
  <c r="DH669" i="99"/>
  <c r="CZ669" i="99"/>
  <c r="CR669" i="99"/>
  <c r="CJ669" i="99"/>
  <c r="CB669" i="99"/>
  <c r="BT669" i="99"/>
  <c r="BL669" i="99"/>
  <c r="BD669" i="99"/>
  <c r="AV669" i="99"/>
  <c r="AN669" i="99"/>
  <c r="AF669" i="99"/>
  <c r="X669" i="99"/>
  <c r="MM669" i="99"/>
  <c r="ME669" i="99"/>
  <c r="LW669" i="99"/>
  <c r="LO669" i="99"/>
  <c r="KY669" i="99"/>
  <c r="KQ669" i="99"/>
  <c r="KI669" i="99"/>
  <c r="KA669" i="99"/>
  <c r="JS669" i="99"/>
  <c r="JK669" i="99"/>
  <c r="JC669" i="99"/>
  <c r="IU669" i="99"/>
  <c r="IM669" i="99"/>
  <c r="IE669" i="99"/>
  <c r="HW669" i="99"/>
  <c r="HO669" i="99"/>
  <c r="HG669" i="99"/>
  <c r="GY669" i="99"/>
  <c r="GQ669" i="99"/>
  <c r="GI669" i="99"/>
  <c r="GA669" i="99"/>
  <c r="FS669" i="99"/>
  <c r="FK669" i="99"/>
  <c r="FC669" i="99"/>
  <c r="EU669" i="99"/>
  <c r="EM669" i="99"/>
  <c r="EE669" i="99"/>
  <c r="DW669" i="99"/>
  <c r="DO669" i="99"/>
  <c r="DG669" i="99"/>
  <c r="CY669" i="99"/>
  <c r="CQ669" i="99"/>
  <c r="CI669" i="99"/>
  <c r="CA669" i="99"/>
  <c r="BS669" i="99"/>
  <c r="BK669" i="99"/>
  <c r="BC669" i="99"/>
  <c r="AU669" i="99"/>
  <c r="AM669" i="99"/>
  <c r="AE669" i="99"/>
  <c r="MR669" i="99"/>
  <c r="MH669" i="99"/>
  <c r="LV669" i="99"/>
  <c r="LL669" i="99"/>
  <c r="LB669" i="99"/>
  <c r="KP669" i="99"/>
  <c r="KF669" i="99"/>
  <c r="JV669" i="99"/>
  <c r="JJ669" i="99"/>
  <c r="IZ669" i="99"/>
  <c r="IP669" i="99"/>
  <c r="ID669" i="99"/>
  <c r="HT669" i="99"/>
  <c r="HJ669" i="99"/>
  <c r="GX669" i="99"/>
  <c r="GN669" i="99"/>
  <c r="GD669" i="99"/>
  <c r="FR669" i="99"/>
  <c r="FH669" i="99"/>
  <c r="EX669" i="99"/>
  <c r="EL669" i="99"/>
  <c r="EB669" i="99"/>
  <c r="DR669" i="99"/>
  <c r="DF669" i="99"/>
  <c r="CV669" i="99"/>
  <c r="CL669" i="99"/>
  <c r="BZ669" i="99"/>
  <c r="BP669" i="99"/>
  <c r="BF669" i="99"/>
  <c r="AT669" i="99"/>
  <c r="AJ669" i="99"/>
  <c r="Z669" i="99"/>
  <c r="MQ669" i="99"/>
  <c r="MG669" i="99"/>
  <c r="LU669" i="99"/>
  <c r="LK669" i="99"/>
  <c r="LA669" i="99"/>
  <c r="KO669" i="99"/>
  <c r="KE669" i="99"/>
  <c r="JU669" i="99"/>
  <c r="JI669" i="99"/>
  <c r="IY669" i="99"/>
  <c r="IO669" i="99"/>
  <c r="IC669" i="99"/>
  <c r="HS669" i="99"/>
  <c r="HI669" i="99"/>
  <c r="GW669" i="99"/>
  <c r="GM669" i="99"/>
  <c r="GC669" i="99"/>
  <c r="FQ669" i="99"/>
  <c r="FG669" i="99"/>
  <c r="EW669" i="99"/>
  <c r="EK669" i="99"/>
  <c r="EA669" i="99"/>
  <c r="DQ669" i="99"/>
  <c r="DE669" i="99"/>
  <c r="CU669" i="99"/>
  <c r="CK669" i="99"/>
  <c r="BY669" i="99"/>
  <c r="BO669" i="99"/>
  <c r="BE669" i="99"/>
  <c r="AS669" i="99"/>
  <c r="AI669" i="99"/>
  <c r="Y669" i="99"/>
  <c r="MP669" i="99"/>
  <c r="MD669" i="99"/>
  <c r="LT669" i="99"/>
  <c r="LJ669" i="99"/>
  <c r="KX669" i="99"/>
  <c r="KN669" i="99"/>
  <c r="KD669" i="99"/>
  <c r="JR669" i="99"/>
  <c r="JH669" i="99"/>
  <c r="IX669" i="99"/>
  <c r="IL669" i="99"/>
  <c r="IB669" i="99"/>
  <c r="HR669" i="99"/>
  <c r="HF669" i="99"/>
  <c r="GV669" i="99"/>
  <c r="GL669" i="99"/>
  <c r="FZ669" i="99"/>
  <c r="FP669" i="99"/>
  <c r="FF669" i="99"/>
  <c r="ET669" i="99"/>
  <c r="EJ669" i="99"/>
  <c r="DZ669" i="99"/>
  <c r="DN669" i="99"/>
  <c r="DD669" i="99"/>
  <c r="CT669" i="99"/>
  <c r="CH669" i="99"/>
  <c r="BX669" i="99"/>
  <c r="BN669" i="99"/>
  <c r="BB669" i="99"/>
  <c r="AR669" i="99"/>
  <c r="AH669" i="99"/>
  <c r="ML669" i="99"/>
  <c r="MB669" i="99"/>
  <c r="LR669" i="99"/>
  <c r="LF669" i="99"/>
  <c r="KV669" i="99"/>
  <c r="KL669" i="99"/>
  <c r="JZ669" i="99"/>
  <c r="JP669" i="99"/>
  <c r="JF669" i="99"/>
  <c r="IT669" i="99"/>
  <c r="IJ669" i="99"/>
  <c r="HZ669" i="99"/>
  <c r="HN669" i="99"/>
  <c r="HD669" i="99"/>
  <c r="GT669" i="99"/>
  <c r="GH669" i="99"/>
  <c r="FX669" i="99"/>
  <c r="FN669" i="99"/>
  <c r="FB669" i="99"/>
  <c r="ER669" i="99"/>
  <c r="EH669" i="99"/>
  <c r="DV669" i="99"/>
  <c r="DL669" i="99"/>
  <c r="DB669" i="99"/>
  <c r="CP669" i="99"/>
  <c r="CF669" i="99"/>
  <c r="BV669" i="99"/>
  <c r="BJ669" i="99"/>
  <c r="AZ669" i="99"/>
  <c r="AP669" i="99"/>
  <c r="AD669" i="99"/>
  <c r="MT669" i="99"/>
  <c r="MJ669" i="99"/>
  <c r="LZ669" i="99"/>
  <c r="LN669" i="99"/>
  <c r="LD669" i="99"/>
  <c r="KT669" i="99"/>
  <c r="KH669" i="99"/>
  <c r="JX669" i="99"/>
  <c r="JN669" i="99"/>
  <c r="JB669" i="99"/>
  <c r="IR669" i="99"/>
  <c r="IH669" i="99"/>
  <c r="HV669" i="99"/>
  <c r="HL669" i="99"/>
  <c r="HB669" i="99"/>
  <c r="GP669" i="99"/>
  <c r="GF669" i="99"/>
  <c r="FV669" i="99"/>
  <c r="FJ669" i="99"/>
  <c r="EZ669" i="99"/>
  <c r="EP669" i="99"/>
  <c r="ED669" i="99"/>
  <c r="DT669" i="99"/>
  <c r="DJ669" i="99"/>
  <c r="CX669" i="99"/>
  <c r="CN669" i="99"/>
  <c r="CD669" i="99"/>
  <c r="BR669" i="99"/>
  <c r="BH669" i="99"/>
  <c r="AX669" i="99"/>
  <c r="AL669" i="99"/>
  <c r="AB669" i="99"/>
  <c r="AK669" i="99"/>
  <c r="BM669" i="99"/>
  <c r="CO669" i="99"/>
  <c r="DS669" i="99"/>
  <c r="ES669" i="99"/>
  <c r="FW669" i="99"/>
  <c r="HA669" i="99"/>
  <c r="IA669" i="99"/>
  <c r="JE669" i="99"/>
  <c r="KG669" i="99"/>
  <c r="LI669" i="99"/>
  <c r="MK669" i="99"/>
  <c r="BZ670" i="99"/>
  <c r="DH670" i="99"/>
  <c r="MC671" i="99"/>
  <c r="HW671" i="99"/>
  <c r="HM671" i="99"/>
  <c r="HC671" i="99"/>
  <c r="GQ671" i="99"/>
  <c r="GG671" i="99"/>
  <c r="LY671" i="99"/>
  <c r="HV671" i="99"/>
  <c r="HL671" i="99"/>
  <c r="GZ671" i="99"/>
  <c r="GP671" i="99"/>
  <c r="LU671" i="99"/>
  <c r="HK671" i="99"/>
  <c r="GW671" i="99"/>
  <c r="GI671" i="99"/>
  <c r="LT671" i="99"/>
  <c r="HX671" i="99"/>
  <c r="HH671" i="99"/>
  <c r="GV671" i="99"/>
  <c r="GH671" i="99"/>
  <c r="MH671" i="99"/>
  <c r="LS671" i="99"/>
  <c r="HU671" i="99"/>
  <c r="HG671" i="99"/>
  <c r="GU671" i="99"/>
  <c r="MG671" i="99"/>
  <c r="HT671" i="99"/>
  <c r="HF671" i="99"/>
  <c r="GR671" i="99"/>
  <c r="MF671" i="99"/>
  <c r="HS671" i="99"/>
  <c r="HE671" i="99"/>
  <c r="GO671" i="99"/>
  <c r="ME671" i="99"/>
  <c r="HP671" i="99"/>
  <c r="HD671" i="99"/>
  <c r="GN671" i="99"/>
  <c r="LX671" i="99"/>
  <c r="HO671" i="99"/>
  <c r="GY671" i="99"/>
  <c r="GM671" i="99"/>
  <c r="L672" i="99"/>
  <c r="M672" i="99" s="1"/>
  <c r="AB660" i="99"/>
  <c r="AJ660" i="99"/>
  <c r="AR660" i="99"/>
  <c r="AZ660" i="99"/>
  <c r="BH660" i="99"/>
  <c r="BP660" i="99"/>
  <c r="BX660" i="99"/>
  <c r="CF660" i="99"/>
  <c r="CN660" i="99"/>
  <c r="CV660" i="99"/>
  <c r="DD660" i="99"/>
  <c r="DL660" i="99"/>
  <c r="DT660" i="99"/>
  <c r="EB660" i="99"/>
  <c r="EJ660" i="99"/>
  <c r="ER660" i="99"/>
  <c r="EZ660" i="99"/>
  <c r="FH660" i="99"/>
  <c r="FP660" i="99"/>
  <c r="FX660" i="99"/>
  <c r="GF660" i="99"/>
  <c r="GN660" i="99"/>
  <c r="GV660" i="99"/>
  <c r="HD660" i="99"/>
  <c r="HL660" i="99"/>
  <c r="HT660" i="99"/>
  <c r="IB660" i="99"/>
  <c r="IJ660" i="99"/>
  <c r="IR660" i="99"/>
  <c r="IZ660" i="99"/>
  <c r="JH660" i="99"/>
  <c r="JP660" i="99"/>
  <c r="JX660" i="99"/>
  <c r="KF660" i="99"/>
  <c r="KN660" i="99"/>
  <c r="KV660" i="99"/>
  <c r="LD660" i="99"/>
  <c r="LL660" i="99"/>
  <c r="LT660" i="99"/>
  <c r="MB660" i="99"/>
  <c r="MJ660" i="99"/>
  <c r="AB661" i="99"/>
  <c r="AJ661" i="99"/>
  <c r="AR661" i="99"/>
  <c r="AZ661" i="99"/>
  <c r="BH661" i="99"/>
  <c r="BP661" i="99"/>
  <c r="BX661" i="99"/>
  <c r="CF661" i="99"/>
  <c r="CN661" i="99"/>
  <c r="CV661" i="99"/>
  <c r="DD661" i="99"/>
  <c r="DL661" i="99"/>
  <c r="DT661" i="99"/>
  <c r="EB661" i="99"/>
  <c r="EJ661" i="99"/>
  <c r="ER661" i="99"/>
  <c r="EZ661" i="99"/>
  <c r="FH661" i="99"/>
  <c r="FP661" i="99"/>
  <c r="FX661" i="99"/>
  <c r="GF661" i="99"/>
  <c r="GN661" i="99"/>
  <c r="GV661" i="99"/>
  <c r="HD661" i="99"/>
  <c r="HL661" i="99"/>
  <c r="HT661" i="99"/>
  <c r="IB661" i="99"/>
  <c r="IJ661" i="99"/>
  <c r="IR661" i="99"/>
  <c r="IZ661" i="99"/>
  <c r="JH661" i="99"/>
  <c r="JP661" i="99"/>
  <c r="JX661" i="99"/>
  <c r="KF661" i="99"/>
  <c r="KN661" i="99"/>
  <c r="KV661" i="99"/>
  <c r="LD661" i="99"/>
  <c r="LL661" i="99"/>
  <c r="LT661" i="99"/>
  <c r="MB661" i="99"/>
  <c r="MJ661" i="99"/>
  <c r="AB662" i="99"/>
  <c r="AJ662" i="99"/>
  <c r="AR662" i="99"/>
  <c r="AZ662" i="99"/>
  <c r="BH662" i="99"/>
  <c r="BP662" i="99"/>
  <c r="BX662" i="99"/>
  <c r="CF662" i="99"/>
  <c r="CN662" i="99"/>
  <c r="CV662" i="99"/>
  <c r="DD662" i="99"/>
  <c r="DL662" i="99"/>
  <c r="DT662" i="99"/>
  <c r="EB662" i="99"/>
  <c r="EJ662" i="99"/>
  <c r="ER662" i="99"/>
  <c r="EZ662" i="99"/>
  <c r="FH662" i="99"/>
  <c r="FP662" i="99"/>
  <c r="FX662" i="99"/>
  <c r="GF662" i="99"/>
  <c r="GN662" i="99"/>
  <c r="GV662" i="99"/>
  <c r="HD662" i="99"/>
  <c r="HL662" i="99"/>
  <c r="HT662" i="99"/>
  <c r="IB662" i="99"/>
  <c r="IJ662" i="99"/>
  <c r="IR662" i="99"/>
  <c r="IZ662" i="99"/>
  <c r="JH662" i="99"/>
  <c r="JP662" i="99"/>
  <c r="JX662" i="99"/>
  <c r="KF662" i="99"/>
  <c r="KN662" i="99"/>
  <c r="KV662" i="99"/>
  <c r="LD662" i="99"/>
  <c r="LL662" i="99"/>
  <c r="LT662" i="99"/>
  <c r="MB662" i="99"/>
  <c r="MJ662" i="99"/>
  <c r="AB663" i="99"/>
  <c r="AJ663" i="99"/>
  <c r="AR663" i="99"/>
  <c r="AZ663" i="99"/>
  <c r="BH663" i="99"/>
  <c r="BP663" i="99"/>
  <c r="BX663" i="99"/>
  <c r="CF663" i="99"/>
  <c r="CN663" i="99"/>
  <c r="CV663" i="99"/>
  <c r="DD663" i="99"/>
  <c r="DL663" i="99"/>
  <c r="DT663" i="99"/>
  <c r="EB663" i="99"/>
  <c r="EJ663" i="99"/>
  <c r="ER663" i="99"/>
  <c r="EZ663" i="99"/>
  <c r="FH663" i="99"/>
  <c r="FP663" i="99"/>
  <c r="FX663" i="99"/>
  <c r="GF663" i="99"/>
  <c r="GN663" i="99"/>
  <c r="GV663" i="99"/>
  <c r="HD663" i="99"/>
  <c r="HL663" i="99"/>
  <c r="HT663" i="99"/>
  <c r="IB663" i="99"/>
  <c r="IJ663" i="99"/>
  <c r="IR663" i="99"/>
  <c r="IZ663" i="99"/>
  <c r="JH663" i="99"/>
  <c r="JP663" i="99"/>
  <c r="JX663" i="99"/>
  <c r="KF663" i="99"/>
  <c r="KN663" i="99"/>
  <c r="KV663" i="99"/>
  <c r="LD663" i="99"/>
  <c r="LL663" i="99"/>
  <c r="LT663" i="99"/>
  <c r="MB663" i="99"/>
  <c r="MJ663" i="99"/>
  <c r="AB664" i="99"/>
  <c r="AJ664" i="99"/>
  <c r="AR664" i="99"/>
  <c r="AZ664" i="99"/>
  <c r="BH664" i="99"/>
  <c r="BP664" i="99"/>
  <c r="BX664" i="99"/>
  <c r="CF664" i="99"/>
  <c r="CN664" i="99"/>
  <c r="CV664" i="99"/>
  <c r="DD664" i="99"/>
  <c r="DL664" i="99"/>
  <c r="DT664" i="99"/>
  <c r="EB664" i="99"/>
  <c r="EJ664" i="99"/>
  <c r="ER664" i="99"/>
  <c r="EZ664" i="99"/>
  <c r="FH664" i="99"/>
  <c r="FP664" i="99"/>
  <c r="FX664" i="99"/>
  <c r="GF664" i="99"/>
  <c r="GN664" i="99"/>
  <c r="GV664" i="99"/>
  <c r="HD664" i="99"/>
  <c r="HL664" i="99"/>
  <c r="HT664" i="99"/>
  <c r="IB664" i="99"/>
  <c r="IJ664" i="99"/>
  <c r="IR664" i="99"/>
  <c r="IZ664" i="99"/>
  <c r="JH664" i="99"/>
  <c r="JP664" i="99"/>
  <c r="JX664" i="99"/>
  <c r="KF664" i="99"/>
  <c r="KN664" i="99"/>
  <c r="KV664" i="99"/>
  <c r="LD664" i="99"/>
  <c r="LL664" i="99"/>
  <c r="LT664" i="99"/>
  <c r="MB664" i="99"/>
  <c r="MJ664" i="99"/>
  <c r="AB665" i="99"/>
  <c r="AJ665" i="99"/>
  <c r="AR665" i="99"/>
  <c r="AZ665" i="99"/>
  <c r="BH665" i="99"/>
  <c r="BP665" i="99"/>
  <c r="BX665" i="99"/>
  <c r="CF665" i="99"/>
  <c r="CN665" i="99"/>
  <c r="CV665" i="99"/>
  <c r="DD665" i="99"/>
  <c r="DL665" i="99"/>
  <c r="DT665" i="99"/>
  <c r="EB665" i="99"/>
  <c r="EJ665" i="99"/>
  <c r="ER665" i="99"/>
  <c r="FA665" i="99"/>
  <c r="FJ665" i="99"/>
  <c r="FT665" i="99"/>
  <c r="GC665" i="99"/>
  <c r="GL665" i="99"/>
  <c r="GU665" i="99"/>
  <c r="HD665" i="99"/>
  <c r="HM665" i="99"/>
  <c r="HV665" i="99"/>
  <c r="IF665" i="99"/>
  <c r="IO665" i="99"/>
  <c r="IX665" i="99"/>
  <c r="JG665" i="99"/>
  <c r="JP665" i="99"/>
  <c r="JY665" i="99"/>
  <c r="KH665" i="99"/>
  <c r="KR665" i="99"/>
  <c r="LA665" i="99"/>
  <c r="LJ665" i="99"/>
  <c r="LS665" i="99"/>
  <c r="MB665" i="99"/>
  <c r="MK665" i="99"/>
  <c r="MT665" i="99"/>
  <c r="AF666" i="99"/>
  <c r="AO666" i="99"/>
  <c r="AX666" i="99"/>
  <c r="BG666" i="99"/>
  <c r="BP666" i="99"/>
  <c r="BY666" i="99"/>
  <c r="CH666" i="99"/>
  <c r="CR666" i="99"/>
  <c r="DA666" i="99"/>
  <c r="DJ666" i="99"/>
  <c r="DS666" i="99"/>
  <c r="EB666" i="99"/>
  <c r="EK666" i="99"/>
  <c r="ET666" i="99"/>
  <c r="FD666" i="99"/>
  <c r="FM666" i="99"/>
  <c r="FV666" i="99"/>
  <c r="GE666" i="99"/>
  <c r="GN666" i="99"/>
  <c r="GW666" i="99"/>
  <c r="HF666" i="99"/>
  <c r="HQ666" i="99"/>
  <c r="IA666" i="99"/>
  <c r="IO666" i="99"/>
  <c r="IZ666" i="99"/>
  <c r="JO666" i="99"/>
  <c r="KE666" i="99"/>
  <c r="KU666" i="99"/>
  <c r="MA666" i="99"/>
  <c r="MQ666" i="99"/>
  <c r="AI667" i="99"/>
  <c r="AY667" i="99"/>
  <c r="BO667" i="99"/>
  <c r="CE667" i="99"/>
  <c r="CU667" i="99"/>
  <c r="DK667" i="99"/>
  <c r="EA667" i="99"/>
  <c r="EQ667" i="99"/>
  <c r="FG667" i="99"/>
  <c r="FW667" i="99"/>
  <c r="GM667" i="99"/>
  <c r="HC667" i="99"/>
  <c r="HS667" i="99"/>
  <c r="LK667" i="99"/>
  <c r="MA667" i="99"/>
  <c r="MQ667" i="99"/>
  <c r="AI668" i="99"/>
  <c r="AY668" i="99"/>
  <c r="BO668" i="99"/>
  <c r="CE668" i="99"/>
  <c r="CU668" i="99"/>
  <c r="DK668" i="99"/>
  <c r="EC668" i="99"/>
  <c r="EU668" i="99"/>
  <c r="FN668" i="99"/>
  <c r="GF668" i="99"/>
  <c r="GX668" i="99"/>
  <c r="HS668" i="99"/>
  <c r="MB668" i="99"/>
  <c r="AO669" i="99"/>
  <c r="BQ669" i="99"/>
  <c r="CS669" i="99"/>
  <c r="DU669" i="99"/>
  <c r="EY669" i="99"/>
  <c r="FY669" i="99"/>
  <c r="HC669" i="99"/>
  <c r="IG669" i="99"/>
  <c r="JG669" i="99"/>
  <c r="KK669" i="99"/>
  <c r="LM669" i="99"/>
  <c r="MO669" i="99"/>
  <c r="L670" i="99"/>
  <c r="M670" i="99" s="1"/>
  <c r="CE670" i="99"/>
  <c r="DL670" i="99"/>
  <c r="IC663" i="99"/>
  <c r="IK663" i="99"/>
  <c r="IS663" i="99"/>
  <c r="JA663" i="99"/>
  <c r="JI663" i="99"/>
  <c r="JQ663" i="99"/>
  <c r="JY663" i="99"/>
  <c r="KG663" i="99"/>
  <c r="KO663" i="99"/>
  <c r="KW663" i="99"/>
  <c r="IC664" i="99"/>
  <c r="IK664" i="99"/>
  <c r="IS664" i="99"/>
  <c r="JA664" i="99"/>
  <c r="JI664" i="99"/>
  <c r="JQ664" i="99"/>
  <c r="JY664" i="99"/>
  <c r="KG664" i="99"/>
  <c r="KO664" i="99"/>
  <c r="KW664" i="99"/>
  <c r="MK664" i="99"/>
  <c r="AC665" i="99"/>
  <c r="AK665" i="99"/>
  <c r="AS665" i="99"/>
  <c r="BA665" i="99"/>
  <c r="BI665" i="99"/>
  <c r="BQ665" i="99"/>
  <c r="BY665" i="99"/>
  <c r="CG665" i="99"/>
  <c r="CO665" i="99"/>
  <c r="CW665" i="99"/>
  <c r="DE665" i="99"/>
  <c r="DM665" i="99"/>
  <c r="DU665" i="99"/>
  <c r="EC665" i="99"/>
  <c r="EK665" i="99"/>
  <c r="ES665" i="99"/>
  <c r="FB665" i="99"/>
  <c r="FL665" i="99"/>
  <c r="FU665" i="99"/>
  <c r="IG665" i="99"/>
  <c r="IP665" i="99"/>
  <c r="IY665" i="99"/>
  <c r="JH665" i="99"/>
  <c r="JQ665" i="99"/>
  <c r="JZ665" i="99"/>
  <c r="KJ665" i="99"/>
  <c r="KS665" i="99"/>
  <c r="LK665" i="99"/>
  <c r="LG666" i="99"/>
  <c r="LI666" i="99"/>
  <c r="X666" i="99"/>
  <c r="AG666" i="99"/>
  <c r="AP666" i="99"/>
  <c r="AY666" i="99"/>
  <c r="BH666" i="99"/>
  <c r="BQ666" i="99"/>
  <c r="BZ666" i="99"/>
  <c r="CJ666" i="99"/>
  <c r="CS666" i="99"/>
  <c r="DB666" i="99"/>
  <c r="DK666" i="99"/>
  <c r="DT666" i="99"/>
  <c r="EC666" i="99"/>
  <c r="EL666" i="99"/>
  <c r="EV666" i="99"/>
  <c r="FE666" i="99"/>
  <c r="FN666" i="99"/>
  <c r="FW666" i="99"/>
  <c r="GF666" i="99"/>
  <c r="GO666" i="99"/>
  <c r="GX666" i="99"/>
  <c r="HH666" i="99"/>
  <c r="HR666" i="99"/>
  <c r="IB666" i="99"/>
  <c r="IP666" i="99"/>
  <c r="JD666" i="99"/>
  <c r="JP666" i="99"/>
  <c r="KF666" i="99"/>
  <c r="KV666" i="99"/>
  <c r="LL666" i="99"/>
  <c r="MB666" i="99"/>
  <c r="AJ667" i="99"/>
  <c r="AZ667" i="99"/>
  <c r="BP667" i="99"/>
  <c r="CF667" i="99"/>
  <c r="CV667" i="99"/>
  <c r="DL667" i="99"/>
  <c r="EB667" i="99"/>
  <c r="ER667" i="99"/>
  <c r="FH667" i="99"/>
  <c r="GN667" i="99"/>
  <c r="HD667" i="99"/>
  <c r="HT667" i="99"/>
  <c r="LL667" i="99"/>
  <c r="MR667" i="99"/>
  <c r="AJ668" i="99"/>
  <c r="AZ668" i="99"/>
  <c r="BP668" i="99"/>
  <c r="CF668" i="99"/>
  <c r="CV668" i="99"/>
  <c r="DL668" i="99"/>
  <c r="EW668" i="99"/>
  <c r="FO668" i="99"/>
  <c r="GG668" i="99"/>
  <c r="GY668" i="99"/>
  <c r="HT668" i="99"/>
  <c r="A669" i="99"/>
  <c r="M669" i="99"/>
  <c r="AQ669" i="99"/>
  <c r="BU669" i="99"/>
  <c r="CW669" i="99"/>
  <c r="DY669" i="99"/>
  <c r="FA669" i="99"/>
  <c r="GE669" i="99"/>
  <c r="HE669" i="99"/>
  <c r="II669" i="99"/>
  <c r="JM669" i="99"/>
  <c r="KM669" i="99"/>
  <c r="LQ669" i="99"/>
  <c r="MS669" i="99"/>
  <c r="CI670" i="99"/>
  <c r="DP670" i="99"/>
  <c r="MM666" i="99"/>
  <c r="ME666" i="99"/>
  <c r="LW666" i="99"/>
  <c r="LO666" i="99"/>
  <c r="KY666" i="99"/>
  <c r="KQ666" i="99"/>
  <c r="KI666" i="99"/>
  <c r="KA666" i="99"/>
  <c r="JS666" i="99"/>
  <c r="JK666" i="99"/>
  <c r="JC666" i="99"/>
  <c r="IU666" i="99"/>
  <c r="IM666" i="99"/>
  <c r="IE666" i="99"/>
  <c r="HW666" i="99"/>
  <c r="HO666" i="99"/>
  <c r="HG666" i="99"/>
  <c r="GY666" i="99"/>
  <c r="GQ666" i="99"/>
  <c r="GI666" i="99"/>
  <c r="GA666" i="99"/>
  <c r="FS666" i="99"/>
  <c r="FK666" i="99"/>
  <c r="FC666" i="99"/>
  <c r="EU666" i="99"/>
  <c r="EM666" i="99"/>
  <c r="EE666" i="99"/>
  <c r="DW666" i="99"/>
  <c r="DO666" i="99"/>
  <c r="DG666" i="99"/>
  <c r="CY666" i="99"/>
  <c r="CQ666" i="99"/>
  <c r="CI666" i="99"/>
  <c r="CA666" i="99"/>
  <c r="BS666" i="99"/>
  <c r="BK666" i="99"/>
  <c r="BC666" i="99"/>
  <c r="AU666" i="99"/>
  <c r="AM666" i="99"/>
  <c r="AE666" i="99"/>
  <c r="MT666" i="99"/>
  <c r="ML666" i="99"/>
  <c r="MD666" i="99"/>
  <c r="LV666" i="99"/>
  <c r="LN666" i="99"/>
  <c r="LF666" i="99"/>
  <c r="KX666" i="99"/>
  <c r="KP666" i="99"/>
  <c r="KH666" i="99"/>
  <c r="JZ666" i="99"/>
  <c r="JR666" i="99"/>
  <c r="JJ666" i="99"/>
  <c r="JB666" i="99"/>
  <c r="IT666" i="99"/>
  <c r="IL666" i="99"/>
  <c r="ID666" i="99"/>
  <c r="MS666" i="99"/>
  <c r="MK666" i="99"/>
  <c r="MC666" i="99"/>
  <c r="LU666" i="99"/>
  <c r="LM666" i="99"/>
  <c r="LE666" i="99"/>
  <c r="KW666" i="99"/>
  <c r="KO666" i="99"/>
  <c r="KG666" i="99"/>
  <c r="JY666" i="99"/>
  <c r="JQ666" i="99"/>
  <c r="JI666" i="99"/>
  <c r="JA666" i="99"/>
  <c r="IS666" i="99"/>
  <c r="IK666" i="99"/>
  <c r="IC666" i="99"/>
  <c r="HU666" i="99"/>
  <c r="HM666" i="99"/>
  <c r="MO666" i="99"/>
  <c r="MG666" i="99"/>
  <c r="LY666" i="99"/>
  <c r="LQ666" i="99"/>
  <c r="LA666" i="99"/>
  <c r="KS666" i="99"/>
  <c r="KK666" i="99"/>
  <c r="KC666" i="99"/>
  <c r="JU666" i="99"/>
  <c r="JM666" i="99"/>
  <c r="Y666" i="99"/>
  <c r="AH666" i="99"/>
  <c r="AQ666" i="99"/>
  <c r="AZ666" i="99"/>
  <c r="BI666" i="99"/>
  <c r="BR666" i="99"/>
  <c r="CB666" i="99"/>
  <c r="CK666" i="99"/>
  <c r="CT666" i="99"/>
  <c r="DC666" i="99"/>
  <c r="DL666" i="99"/>
  <c r="DU666" i="99"/>
  <c r="ED666" i="99"/>
  <c r="EN666" i="99"/>
  <c r="EW666" i="99"/>
  <c r="FF666" i="99"/>
  <c r="FO666" i="99"/>
  <c r="FX666" i="99"/>
  <c r="GG666" i="99"/>
  <c r="GP666" i="99"/>
  <c r="GZ666" i="99"/>
  <c r="HI666" i="99"/>
  <c r="HS666" i="99"/>
  <c r="IF666" i="99"/>
  <c r="IQ666" i="99"/>
  <c r="JE666" i="99"/>
  <c r="JT666" i="99"/>
  <c r="KJ666" i="99"/>
  <c r="KZ666" i="99"/>
  <c r="LP666" i="99"/>
  <c r="MF666" i="99"/>
  <c r="LG667" i="99"/>
  <c r="LI667" i="99"/>
  <c r="X667" i="99"/>
  <c r="AN667" i="99"/>
  <c r="BD667" i="99"/>
  <c r="BT667" i="99"/>
  <c r="CJ667" i="99"/>
  <c r="CZ667" i="99"/>
  <c r="DP667" i="99"/>
  <c r="EV667" i="99"/>
  <c r="FL667" i="99"/>
  <c r="GR667" i="99"/>
  <c r="HH667" i="99"/>
  <c r="HX667" i="99"/>
  <c r="LP667" i="99"/>
  <c r="LH668" i="99"/>
  <c r="LG668" i="99"/>
  <c r="LU668" i="99"/>
  <c r="LK668" i="99"/>
  <c r="LI668" i="99"/>
  <c r="X668" i="99"/>
  <c r="AN668" i="99"/>
  <c r="BD668" i="99"/>
  <c r="BT668" i="99"/>
  <c r="CJ668" i="99"/>
  <c r="CZ668" i="99"/>
  <c r="DQ668" i="99"/>
  <c r="EI668" i="99"/>
  <c r="FA668" i="99"/>
  <c r="FS668" i="99"/>
  <c r="GL668" i="99"/>
  <c r="HD668" i="99"/>
  <c r="GG669" i="99"/>
  <c r="LS669" i="99"/>
  <c r="CN670" i="99"/>
  <c r="L671" i="99"/>
  <c r="M671" i="99" s="1"/>
  <c r="Y667" i="99"/>
  <c r="AG667" i="99"/>
  <c r="AO667" i="99"/>
  <c r="AW667" i="99"/>
  <c r="BE667" i="99"/>
  <c r="BM667" i="99"/>
  <c r="BU667" i="99"/>
  <c r="CC667" i="99"/>
  <c r="CK667" i="99"/>
  <c r="CS667" i="99"/>
  <c r="DA667" i="99"/>
  <c r="DI667" i="99"/>
  <c r="DQ667" i="99"/>
  <c r="DY667" i="99"/>
  <c r="EG667" i="99"/>
  <c r="EO667" i="99"/>
  <c r="EW667" i="99"/>
  <c r="FE667" i="99"/>
  <c r="FM667" i="99"/>
  <c r="FU667" i="99"/>
  <c r="GC667" i="99"/>
  <c r="GK667" i="99"/>
  <c r="GS667" i="99"/>
  <c r="HA667" i="99"/>
  <c r="HI667" i="99"/>
  <c r="HQ667" i="99"/>
  <c r="HY667" i="99"/>
  <c r="IG667" i="99"/>
  <c r="IO667" i="99"/>
  <c r="IW667" i="99"/>
  <c r="JE667" i="99"/>
  <c r="JM667" i="99"/>
  <c r="JU667" i="99"/>
  <c r="KC667" i="99"/>
  <c r="KK667" i="99"/>
  <c r="KS667" i="99"/>
  <c r="LA667" i="99"/>
  <c r="LQ667" i="99"/>
  <c r="LY667" i="99"/>
  <c r="MG667" i="99"/>
  <c r="MO667" i="99"/>
  <c r="MN668" i="99"/>
  <c r="MF668" i="99"/>
  <c r="LX668" i="99"/>
  <c r="LP668" i="99"/>
  <c r="KZ668" i="99"/>
  <c r="KR668" i="99"/>
  <c r="KJ668" i="99"/>
  <c r="KB668" i="99"/>
  <c r="JT668" i="99"/>
  <c r="JL668" i="99"/>
  <c r="JD668" i="99"/>
  <c r="IV668" i="99"/>
  <c r="IN668" i="99"/>
  <c r="IF668" i="99"/>
  <c r="HX668" i="99"/>
  <c r="HP668" i="99"/>
  <c r="HH668" i="99"/>
  <c r="GZ668" i="99"/>
  <c r="GR668" i="99"/>
  <c r="GJ668" i="99"/>
  <c r="GB668" i="99"/>
  <c r="FT668" i="99"/>
  <c r="FL668" i="99"/>
  <c r="FD668" i="99"/>
  <c r="EV668" i="99"/>
  <c r="EN668" i="99"/>
  <c r="EF668" i="99"/>
  <c r="DX668" i="99"/>
  <c r="DP668" i="99"/>
  <c r="MM668" i="99"/>
  <c r="ME668" i="99"/>
  <c r="LW668" i="99"/>
  <c r="LO668" i="99"/>
  <c r="KY668" i="99"/>
  <c r="KQ668" i="99"/>
  <c r="KI668" i="99"/>
  <c r="KA668" i="99"/>
  <c r="JS668" i="99"/>
  <c r="JK668" i="99"/>
  <c r="JC668" i="99"/>
  <c r="IU668" i="99"/>
  <c r="IM668" i="99"/>
  <c r="IE668" i="99"/>
  <c r="HW668" i="99"/>
  <c r="HO668" i="99"/>
  <c r="HG668" i="99"/>
  <c r="Y668" i="99"/>
  <c r="AG668" i="99"/>
  <c r="AO668" i="99"/>
  <c r="AW668" i="99"/>
  <c r="BE668" i="99"/>
  <c r="BM668" i="99"/>
  <c r="BU668" i="99"/>
  <c r="CC668" i="99"/>
  <c r="CK668" i="99"/>
  <c r="CS668" i="99"/>
  <c r="DA668" i="99"/>
  <c r="DI668" i="99"/>
  <c r="DR668" i="99"/>
  <c r="EA668" i="99"/>
  <c r="EJ668" i="99"/>
  <c r="ES668" i="99"/>
  <c r="FB668" i="99"/>
  <c r="FK668" i="99"/>
  <c r="FU668" i="99"/>
  <c r="GD668" i="99"/>
  <c r="GM668" i="99"/>
  <c r="GV668" i="99"/>
  <c r="HE668" i="99"/>
  <c r="HQ668" i="99"/>
  <c r="IA668" i="99"/>
  <c r="IK668" i="99"/>
  <c r="IW668" i="99"/>
  <c r="JG668" i="99"/>
  <c r="JQ668" i="99"/>
  <c r="KC668" i="99"/>
  <c r="KM668" i="99"/>
  <c r="KW668" i="99"/>
  <c r="LS668" i="99"/>
  <c r="MC668" i="99"/>
  <c r="MO668" i="99"/>
  <c r="Y670" i="99"/>
  <c r="AI670" i="99"/>
  <c r="AS670" i="99"/>
  <c r="BE670" i="99"/>
  <c r="BO670" i="99"/>
  <c r="BY670" i="99"/>
  <c r="CM670" i="99"/>
  <c r="CX670" i="99"/>
  <c r="DK670" i="99"/>
  <c r="EA670" i="99"/>
  <c r="EM670" i="99"/>
  <c r="FA670" i="99"/>
  <c r="FQ670" i="99"/>
  <c r="GE670" i="99"/>
  <c r="GQ670" i="99"/>
  <c r="HG670" i="99"/>
  <c r="HU670" i="99"/>
  <c r="II670" i="99"/>
  <c r="IY670" i="99"/>
  <c r="JK670" i="99"/>
  <c r="JY670" i="99"/>
  <c r="KO670" i="99"/>
  <c r="LC670" i="99"/>
  <c r="LO670" i="99"/>
  <c r="ME670" i="99"/>
  <c r="AK671" i="99"/>
  <c r="BA671" i="99"/>
  <c r="BO671" i="99"/>
  <c r="CA671" i="99"/>
  <c r="CQ671" i="99"/>
  <c r="DE671" i="99"/>
  <c r="DS671" i="99"/>
  <c r="EI671" i="99"/>
  <c r="EU671" i="99"/>
  <c r="FI671" i="99"/>
  <c r="IQ671" i="99"/>
  <c r="JG671" i="99"/>
  <c r="JS671" i="99"/>
  <c r="KG671" i="99"/>
  <c r="KW671" i="99"/>
  <c r="LK671" i="99"/>
  <c r="MS671" i="99"/>
  <c r="KT672" i="99"/>
  <c r="KG672" i="99"/>
  <c r="JQ672" i="99"/>
  <c r="JD672" i="99"/>
  <c r="IP672" i="99"/>
  <c r="LC672" i="99"/>
  <c r="KM672" i="99"/>
  <c r="KA672" i="99"/>
  <c r="JM672" i="99"/>
  <c r="KY672" i="99"/>
  <c r="KK672" i="99"/>
  <c r="JW672" i="99"/>
  <c r="JG672" i="99"/>
  <c r="IU672" i="99"/>
  <c r="IG672" i="99"/>
  <c r="KW672" i="99"/>
  <c r="KJ672" i="99"/>
  <c r="JV672" i="99"/>
  <c r="JF672" i="99"/>
  <c r="IS672" i="99"/>
  <c r="IF672" i="99"/>
  <c r="KU672" i="99"/>
  <c r="KI672" i="99"/>
  <c r="JS672" i="99"/>
  <c r="JE672" i="99"/>
  <c r="IQ672" i="99"/>
  <c r="LB672" i="99"/>
  <c r="LL671" i="99"/>
  <c r="IH672" i="99"/>
  <c r="MP670" i="99"/>
  <c r="MH670" i="99"/>
  <c r="LZ670" i="99"/>
  <c r="LR670" i="99"/>
  <c r="LB670" i="99"/>
  <c r="KT670" i="99"/>
  <c r="KL670" i="99"/>
  <c r="KD670" i="99"/>
  <c r="JV670" i="99"/>
  <c r="JN670" i="99"/>
  <c r="JF670" i="99"/>
  <c r="IX670" i="99"/>
  <c r="IP670" i="99"/>
  <c r="IH670" i="99"/>
  <c r="HZ670" i="99"/>
  <c r="HR670" i="99"/>
  <c r="HJ670" i="99"/>
  <c r="HB670" i="99"/>
  <c r="GT670" i="99"/>
  <c r="GL670" i="99"/>
  <c r="GD670" i="99"/>
  <c r="FV670" i="99"/>
  <c r="FN670" i="99"/>
  <c r="FF670" i="99"/>
  <c r="EX670" i="99"/>
  <c r="EP670" i="99"/>
  <c r="EH670" i="99"/>
  <c r="DZ670" i="99"/>
  <c r="DR670" i="99"/>
  <c r="DJ670" i="99"/>
  <c r="DB670" i="99"/>
  <c r="CT670" i="99"/>
  <c r="CL670" i="99"/>
  <c r="CD670" i="99"/>
  <c r="MO670" i="99"/>
  <c r="MG670" i="99"/>
  <c r="LY670" i="99"/>
  <c r="LQ670" i="99"/>
  <c r="LA670" i="99"/>
  <c r="KS670" i="99"/>
  <c r="KK670" i="99"/>
  <c r="KC670" i="99"/>
  <c r="JU670" i="99"/>
  <c r="JM670" i="99"/>
  <c r="JE670" i="99"/>
  <c r="IW670" i="99"/>
  <c r="IO670" i="99"/>
  <c r="IG670" i="99"/>
  <c r="HY670" i="99"/>
  <c r="HQ670" i="99"/>
  <c r="HI670" i="99"/>
  <c r="HA670" i="99"/>
  <c r="GS670" i="99"/>
  <c r="GK670" i="99"/>
  <c r="GC670" i="99"/>
  <c r="FU670" i="99"/>
  <c r="FM670" i="99"/>
  <c r="FE670" i="99"/>
  <c r="EW670" i="99"/>
  <c r="EO670" i="99"/>
  <c r="EG670" i="99"/>
  <c r="DY670" i="99"/>
  <c r="DQ670" i="99"/>
  <c r="DI670" i="99"/>
  <c r="MN670" i="99"/>
  <c r="MD670" i="99"/>
  <c r="LT670" i="99"/>
  <c r="KX670" i="99"/>
  <c r="KN670" i="99"/>
  <c r="KB670" i="99"/>
  <c r="JR670" i="99"/>
  <c r="JH670" i="99"/>
  <c r="IV670" i="99"/>
  <c r="IL670" i="99"/>
  <c r="IB670" i="99"/>
  <c r="HP670" i="99"/>
  <c r="HF670" i="99"/>
  <c r="GV670" i="99"/>
  <c r="GJ670" i="99"/>
  <c r="FZ670" i="99"/>
  <c r="FP670" i="99"/>
  <c r="FD670" i="99"/>
  <c r="ET670" i="99"/>
  <c r="EJ670" i="99"/>
  <c r="DX670" i="99"/>
  <c r="DN670" i="99"/>
  <c r="DD670" i="99"/>
  <c r="CU670" i="99"/>
  <c r="CK670" i="99"/>
  <c r="CB670" i="99"/>
  <c r="BT670" i="99"/>
  <c r="BL670" i="99"/>
  <c r="BD670" i="99"/>
  <c r="AV670" i="99"/>
  <c r="AN670" i="99"/>
  <c r="AF670" i="99"/>
  <c r="X670" i="99"/>
  <c r="MM670" i="99"/>
  <c r="MC670" i="99"/>
  <c r="LS670" i="99"/>
  <c r="KW670" i="99"/>
  <c r="KM670" i="99"/>
  <c r="KA670" i="99"/>
  <c r="JQ670" i="99"/>
  <c r="JG670" i="99"/>
  <c r="IU670" i="99"/>
  <c r="IK670" i="99"/>
  <c r="IA670" i="99"/>
  <c r="HO670" i="99"/>
  <c r="HE670" i="99"/>
  <c r="GU670" i="99"/>
  <c r="GI670" i="99"/>
  <c r="FY670" i="99"/>
  <c r="FO670" i="99"/>
  <c r="FC670" i="99"/>
  <c r="ES670" i="99"/>
  <c r="EI670" i="99"/>
  <c r="DW670" i="99"/>
  <c r="DM670" i="99"/>
  <c r="DC670" i="99"/>
  <c r="CS670" i="99"/>
  <c r="CJ670" i="99"/>
  <c r="CA670" i="99"/>
  <c r="BS670" i="99"/>
  <c r="BK670" i="99"/>
  <c r="BC670" i="99"/>
  <c r="AU670" i="99"/>
  <c r="AM670" i="99"/>
  <c r="AE670" i="99"/>
  <c r="AA670" i="99"/>
  <c r="AK670" i="99"/>
  <c r="AW670" i="99"/>
  <c r="BG670" i="99"/>
  <c r="BQ670" i="99"/>
  <c r="CC670" i="99"/>
  <c r="CO670" i="99"/>
  <c r="CZ670" i="99"/>
  <c r="DO670" i="99"/>
  <c r="EC670" i="99"/>
  <c r="EQ670" i="99"/>
  <c r="FG670" i="99"/>
  <c r="FS670" i="99"/>
  <c r="GG670" i="99"/>
  <c r="GW670" i="99"/>
  <c r="HK670" i="99"/>
  <c r="HW670" i="99"/>
  <c r="IM670" i="99"/>
  <c r="JA670" i="99"/>
  <c r="JO670" i="99"/>
  <c r="KE670" i="99"/>
  <c r="KQ670" i="99"/>
  <c r="LE670" i="99"/>
  <c r="LU670" i="99"/>
  <c r="MI670" i="99"/>
  <c r="A671" i="99"/>
  <c r="AA671" i="99"/>
  <c r="AQ671" i="99"/>
  <c r="BC671" i="99"/>
  <c r="BQ671" i="99"/>
  <c r="CG671" i="99"/>
  <c r="CU671" i="99"/>
  <c r="DG671" i="99"/>
  <c r="DW671" i="99"/>
  <c r="EK671" i="99"/>
  <c r="EY671" i="99"/>
  <c r="FO671" i="99"/>
  <c r="JW671" i="99"/>
  <c r="KM671" i="99"/>
  <c r="KY671" i="99"/>
  <c r="II672" i="99"/>
  <c r="LJ671" i="99"/>
  <c r="LI671" i="99"/>
  <c r="LO671" i="99"/>
  <c r="FK671" i="99"/>
  <c r="FA671" i="99"/>
  <c r="EQ671" i="99"/>
  <c r="DU671" i="99"/>
  <c r="DK671" i="99"/>
  <c r="CY671" i="99"/>
  <c r="CO671" i="99"/>
  <c r="CE671" i="99"/>
  <c r="BS671" i="99"/>
  <c r="BI671" i="99"/>
  <c r="AY671" i="99"/>
  <c r="AM671" i="99"/>
  <c r="AC671" i="99"/>
  <c r="LN671" i="99"/>
  <c r="FT671" i="99"/>
  <c r="FJ671" i="99"/>
  <c r="EZ671" i="99"/>
  <c r="EN671" i="99"/>
  <c r="DT671" i="99"/>
  <c r="DH671" i="99"/>
  <c r="CX671" i="99"/>
  <c r="CN671" i="99"/>
  <c r="CB671" i="99"/>
  <c r="BR671" i="99"/>
  <c r="BH671" i="99"/>
  <c r="AV671" i="99"/>
  <c r="AL671" i="99"/>
  <c r="AB671" i="99"/>
  <c r="AD671" i="99"/>
  <c r="AR671" i="99"/>
  <c r="BD671" i="99"/>
  <c r="BT671" i="99"/>
  <c r="CH671" i="99"/>
  <c r="CV671" i="99"/>
  <c r="DL671" i="99"/>
  <c r="DX671" i="99"/>
  <c r="EL671" i="99"/>
  <c r="FB671" i="99"/>
  <c r="FP671" i="99"/>
  <c r="LP671" i="99"/>
  <c r="IV672" i="99"/>
  <c r="AC667" i="99"/>
  <c r="AK667" i="99"/>
  <c r="AS667" i="99"/>
  <c r="BA667" i="99"/>
  <c r="BI667" i="99"/>
  <c r="BQ667" i="99"/>
  <c r="BY667" i="99"/>
  <c r="CG667" i="99"/>
  <c r="CO667" i="99"/>
  <c r="CW667" i="99"/>
  <c r="DE667" i="99"/>
  <c r="DM667" i="99"/>
  <c r="DU667" i="99"/>
  <c r="EC667" i="99"/>
  <c r="EK667" i="99"/>
  <c r="ES667" i="99"/>
  <c r="FA667" i="99"/>
  <c r="FI667" i="99"/>
  <c r="FQ667" i="99"/>
  <c r="FY667" i="99"/>
  <c r="GG667" i="99"/>
  <c r="GO667" i="99"/>
  <c r="GW667" i="99"/>
  <c r="HE667" i="99"/>
  <c r="HM667" i="99"/>
  <c r="HU667" i="99"/>
  <c r="IC667" i="99"/>
  <c r="IK667" i="99"/>
  <c r="IS667" i="99"/>
  <c r="JA667" i="99"/>
  <c r="JI667" i="99"/>
  <c r="JQ667" i="99"/>
  <c r="JY667" i="99"/>
  <c r="KG667" i="99"/>
  <c r="KO667" i="99"/>
  <c r="KW667" i="99"/>
  <c r="LE667" i="99"/>
  <c r="LM667" i="99"/>
  <c r="LU667" i="99"/>
  <c r="MC667" i="99"/>
  <c r="MK667" i="99"/>
  <c r="MS667" i="99"/>
  <c r="AC668" i="99"/>
  <c r="AK668" i="99"/>
  <c r="AS668" i="99"/>
  <c r="BA668" i="99"/>
  <c r="BI668" i="99"/>
  <c r="BQ668" i="99"/>
  <c r="BY668" i="99"/>
  <c r="CG668" i="99"/>
  <c r="CO668" i="99"/>
  <c r="CW668" i="99"/>
  <c r="DE668" i="99"/>
  <c r="DM668" i="99"/>
  <c r="DV668" i="99"/>
  <c r="EE668" i="99"/>
  <c r="EO668" i="99"/>
  <c r="EX668" i="99"/>
  <c r="FG668" i="99"/>
  <c r="FP668" i="99"/>
  <c r="FY668" i="99"/>
  <c r="GH668" i="99"/>
  <c r="GQ668" i="99"/>
  <c r="HA668" i="99"/>
  <c r="HK668" i="99"/>
  <c r="HU668" i="99"/>
  <c r="IG668" i="99"/>
  <c r="IQ668" i="99"/>
  <c r="JA668" i="99"/>
  <c r="JM668" i="99"/>
  <c r="JW668" i="99"/>
  <c r="KG668" i="99"/>
  <c r="KS668" i="99"/>
  <c r="LC668" i="99"/>
  <c r="LM668" i="99"/>
  <c r="LY668" i="99"/>
  <c r="MI668" i="99"/>
  <c r="MS668" i="99"/>
  <c r="A670" i="99"/>
  <c r="AC670" i="99"/>
  <c r="AO670" i="99"/>
  <c r="AY670" i="99"/>
  <c r="BI670" i="99"/>
  <c r="BU670" i="99"/>
  <c r="CF670" i="99"/>
  <c r="CQ670" i="99"/>
  <c r="DE670" i="99"/>
  <c r="DS670" i="99"/>
  <c r="EE670" i="99"/>
  <c r="EU670" i="99"/>
  <c r="FI670" i="99"/>
  <c r="FW670" i="99"/>
  <c r="GM670" i="99"/>
  <c r="GY670" i="99"/>
  <c r="HM670" i="99"/>
  <c r="IC670" i="99"/>
  <c r="IQ670" i="99"/>
  <c r="JC670" i="99"/>
  <c r="JS670" i="99"/>
  <c r="KG670" i="99"/>
  <c r="KU670" i="99"/>
  <c r="LK670" i="99"/>
  <c r="LW670" i="99"/>
  <c r="MK670" i="99"/>
  <c r="AE671" i="99"/>
  <c r="AS671" i="99"/>
  <c r="BG671" i="99"/>
  <c r="BW671" i="99"/>
  <c r="CI671" i="99"/>
  <c r="CW671" i="99"/>
  <c r="DM671" i="99"/>
  <c r="EA671" i="99"/>
  <c r="EM671" i="99"/>
  <c r="FC671" i="99"/>
  <c r="FQ671" i="99"/>
  <c r="IK671" i="99"/>
  <c r="IY671" i="99"/>
  <c r="JK671" i="99"/>
  <c r="KA671" i="99"/>
  <c r="KO671" i="99"/>
  <c r="LC671" i="99"/>
  <c r="IW672" i="99"/>
  <c r="MS672" i="99"/>
  <c r="AD667" i="99"/>
  <c r="AL667" i="99"/>
  <c r="AT667" i="99"/>
  <c r="BB667" i="99"/>
  <c r="BJ667" i="99"/>
  <c r="BR667" i="99"/>
  <c r="BZ667" i="99"/>
  <c r="CH667" i="99"/>
  <c r="CP667" i="99"/>
  <c r="CX667" i="99"/>
  <c r="DF667" i="99"/>
  <c r="DN667" i="99"/>
  <c r="DV667" i="99"/>
  <c r="ED667" i="99"/>
  <c r="EL667" i="99"/>
  <c r="ET667" i="99"/>
  <c r="FB667" i="99"/>
  <c r="FJ667" i="99"/>
  <c r="FR667" i="99"/>
  <c r="FZ667" i="99"/>
  <c r="GH667" i="99"/>
  <c r="GP667" i="99"/>
  <c r="GX667" i="99"/>
  <c r="HF667" i="99"/>
  <c r="HN667" i="99"/>
  <c r="HV667" i="99"/>
  <c r="ID667" i="99"/>
  <c r="IL667" i="99"/>
  <c r="IT667" i="99"/>
  <c r="JB667" i="99"/>
  <c r="JJ667" i="99"/>
  <c r="JR667" i="99"/>
  <c r="JZ667" i="99"/>
  <c r="KH667" i="99"/>
  <c r="KP667" i="99"/>
  <c r="KX667" i="99"/>
  <c r="LF667" i="99"/>
  <c r="LN667" i="99"/>
  <c r="LV667" i="99"/>
  <c r="MD667" i="99"/>
  <c r="ML667" i="99"/>
  <c r="MT667" i="99"/>
  <c r="AD668" i="99"/>
  <c r="AL668" i="99"/>
  <c r="AT668" i="99"/>
  <c r="BB668" i="99"/>
  <c r="BJ668" i="99"/>
  <c r="BR668" i="99"/>
  <c r="BZ668" i="99"/>
  <c r="CH668" i="99"/>
  <c r="CP668" i="99"/>
  <c r="CX668" i="99"/>
  <c r="DF668" i="99"/>
  <c r="DN668" i="99"/>
  <c r="DW668" i="99"/>
  <c r="EG668" i="99"/>
  <c r="EP668" i="99"/>
  <c r="EY668" i="99"/>
  <c r="FH668" i="99"/>
  <c r="FQ668" i="99"/>
  <c r="FZ668" i="99"/>
  <c r="GI668" i="99"/>
  <c r="GS668" i="99"/>
  <c r="HB668" i="99"/>
  <c r="HL668" i="99"/>
  <c r="HV668" i="99"/>
  <c r="IH668" i="99"/>
  <c r="IR668" i="99"/>
  <c r="JB668" i="99"/>
  <c r="JN668" i="99"/>
  <c r="JX668" i="99"/>
  <c r="KH668" i="99"/>
  <c r="KT668" i="99"/>
  <c r="LD668" i="99"/>
  <c r="LN668" i="99"/>
  <c r="LZ668" i="99"/>
  <c r="MJ668" i="99"/>
  <c r="MT668" i="99"/>
  <c r="AD670" i="99"/>
  <c r="AP670" i="99"/>
  <c r="AZ670" i="99"/>
  <c r="BJ670" i="99"/>
  <c r="BV670" i="99"/>
  <c r="CG670" i="99"/>
  <c r="CR670" i="99"/>
  <c r="DF670" i="99"/>
  <c r="DT670" i="99"/>
  <c r="EF670" i="99"/>
  <c r="EV670" i="99"/>
  <c r="FJ670" i="99"/>
  <c r="FX670" i="99"/>
  <c r="GN670" i="99"/>
  <c r="GZ670" i="99"/>
  <c r="HN670" i="99"/>
  <c r="ID670" i="99"/>
  <c r="IR670" i="99"/>
  <c r="JD670" i="99"/>
  <c r="JT670" i="99"/>
  <c r="KH670" i="99"/>
  <c r="KV670" i="99"/>
  <c r="LL670" i="99"/>
  <c r="LX670" i="99"/>
  <c r="ML670" i="99"/>
  <c r="FW671" i="99"/>
  <c r="EE671" i="99"/>
  <c r="GF671" i="99"/>
  <c r="ED671" i="99"/>
  <c r="AF671" i="99"/>
  <c r="AT671" i="99"/>
  <c r="BJ671" i="99"/>
  <c r="BX671" i="99"/>
  <c r="CJ671" i="99"/>
  <c r="CZ671" i="99"/>
  <c r="DN671" i="99"/>
  <c r="EB671" i="99"/>
  <c r="ER671" i="99"/>
  <c r="FD671" i="99"/>
  <c r="FR671" i="99"/>
  <c r="IL671" i="99"/>
  <c r="IZ671" i="99"/>
  <c r="JP671" i="99"/>
  <c r="KP671" i="99"/>
  <c r="MI672" i="99"/>
  <c r="JL672" i="99"/>
  <c r="L673" i="99"/>
  <c r="M673" i="99" s="1"/>
  <c r="AE667" i="99"/>
  <c r="AM667" i="99"/>
  <c r="AU667" i="99"/>
  <c r="BC667" i="99"/>
  <c r="BK667" i="99"/>
  <c r="BS667" i="99"/>
  <c r="CA667" i="99"/>
  <c r="CI667" i="99"/>
  <c r="CQ667" i="99"/>
  <c r="CY667" i="99"/>
  <c r="DG667" i="99"/>
  <c r="DO667" i="99"/>
  <c r="DW667" i="99"/>
  <c r="EE667" i="99"/>
  <c r="EM667" i="99"/>
  <c r="EU667" i="99"/>
  <c r="FC667" i="99"/>
  <c r="FK667" i="99"/>
  <c r="FS667" i="99"/>
  <c r="GA667" i="99"/>
  <c r="GI667" i="99"/>
  <c r="GQ667" i="99"/>
  <c r="GY667" i="99"/>
  <c r="HG667" i="99"/>
  <c r="HO667" i="99"/>
  <c r="HW667" i="99"/>
  <c r="IE667" i="99"/>
  <c r="IM667" i="99"/>
  <c r="IU667" i="99"/>
  <c r="JC667" i="99"/>
  <c r="JK667" i="99"/>
  <c r="JS667" i="99"/>
  <c r="KA667" i="99"/>
  <c r="KI667" i="99"/>
  <c r="KQ667" i="99"/>
  <c r="KY667" i="99"/>
  <c r="LO667" i="99"/>
  <c r="LW667" i="99"/>
  <c r="ME667" i="99"/>
  <c r="AE668" i="99"/>
  <c r="AM668" i="99"/>
  <c r="AU668" i="99"/>
  <c r="BC668" i="99"/>
  <c r="BK668" i="99"/>
  <c r="BS668" i="99"/>
  <c r="CA668" i="99"/>
  <c r="CI668" i="99"/>
  <c r="CQ668" i="99"/>
  <c r="CY668" i="99"/>
  <c r="DG668" i="99"/>
  <c r="DO668" i="99"/>
  <c r="DY668" i="99"/>
  <c r="EH668" i="99"/>
  <c r="EQ668" i="99"/>
  <c r="EZ668" i="99"/>
  <c r="FI668" i="99"/>
  <c r="FR668" i="99"/>
  <c r="GA668" i="99"/>
  <c r="GK668" i="99"/>
  <c r="GT668" i="99"/>
  <c r="HC668" i="99"/>
  <c r="HM668" i="99"/>
  <c r="HY668" i="99"/>
  <c r="II668" i="99"/>
  <c r="IS668" i="99"/>
  <c r="JE668" i="99"/>
  <c r="JO668" i="99"/>
  <c r="JY668" i="99"/>
  <c r="KK668" i="99"/>
  <c r="KU668" i="99"/>
  <c r="LE668" i="99"/>
  <c r="LQ668" i="99"/>
  <c r="MA668" i="99"/>
  <c r="MK668" i="99"/>
  <c r="LH669" i="99"/>
  <c r="AG670" i="99"/>
  <c r="AQ670" i="99"/>
  <c r="BA670" i="99"/>
  <c r="BM670" i="99"/>
  <c r="BW670" i="99"/>
  <c r="CH670" i="99"/>
  <c r="CV670" i="99"/>
  <c r="DG670" i="99"/>
  <c r="DU670" i="99"/>
  <c r="EK670" i="99"/>
  <c r="EY670" i="99"/>
  <c r="FK670" i="99"/>
  <c r="GA670" i="99"/>
  <c r="GO670" i="99"/>
  <c r="HC670" i="99"/>
  <c r="HS670" i="99"/>
  <c r="IE670" i="99"/>
  <c r="IS670" i="99"/>
  <c r="JI670" i="99"/>
  <c r="JW670" i="99"/>
  <c r="KI670" i="99"/>
  <c r="KY670" i="99"/>
  <c r="LM670" i="99"/>
  <c r="MA670" i="99"/>
  <c r="MQ670" i="99"/>
  <c r="MP671" i="99"/>
  <c r="MO671" i="99"/>
  <c r="LE671" i="99"/>
  <c r="KU671" i="99"/>
  <c r="KI671" i="99"/>
  <c r="JY671" i="99"/>
  <c r="JO671" i="99"/>
  <c r="JC671" i="99"/>
  <c r="IS671" i="99"/>
  <c r="II671" i="99"/>
  <c r="LD671" i="99"/>
  <c r="KR671" i="99"/>
  <c r="KH671" i="99"/>
  <c r="JX671" i="99"/>
  <c r="JL671" i="99"/>
  <c r="JB671" i="99"/>
  <c r="IR671" i="99"/>
  <c r="IF671" i="99"/>
  <c r="AI671" i="99"/>
  <c r="AU671" i="99"/>
  <c r="BK671" i="99"/>
  <c r="BY671" i="99"/>
  <c r="CM671" i="99"/>
  <c r="DC671" i="99"/>
  <c r="DO671" i="99"/>
  <c r="EC671" i="99"/>
  <c r="ES671" i="99"/>
  <c r="FG671" i="99"/>
  <c r="FS671" i="99"/>
  <c r="IA671" i="99"/>
  <c r="IM671" i="99"/>
  <c r="JA671" i="99"/>
  <c r="JQ671" i="99"/>
  <c r="KE671" i="99"/>
  <c r="KQ671" i="99"/>
  <c r="LG671" i="99"/>
  <c r="MN671" i="99"/>
  <c r="KS672" i="99"/>
  <c r="JY672" i="99"/>
  <c r="IG673" i="99"/>
  <c r="IY673" i="99"/>
  <c r="JQ673" i="99"/>
  <c r="KG673" i="99"/>
  <c r="KY673" i="99"/>
  <c r="MG673" i="99"/>
  <c r="KJ674" i="99"/>
  <c r="IK673" i="99"/>
  <c r="JA673" i="99"/>
  <c r="JS673" i="99"/>
  <c r="KI673" i="99"/>
  <c r="LA673" i="99"/>
  <c r="MH673" i="99"/>
  <c r="MO674" i="99"/>
  <c r="II674" i="99"/>
  <c r="IM673" i="99"/>
  <c r="JC673" i="99"/>
  <c r="JU673" i="99"/>
  <c r="KL673" i="99"/>
  <c r="LB673" i="99"/>
  <c r="MI673" i="99"/>
  <c r="IJ674" i="99"/>
  <c r="MN673" i="99"/>
  <c r="MM674" i="99"/>
  <c r="IP673" i="99"/>
  <c r="JG673" i="99"/>
  <c r="JW673" i="99"/>
  <c r="KQ673" i="99"/>
  <c r="JL674" i="99"/>
  <c r="IT674" i="99"/>
  <c r="IE674" i="99"/>
  <c r="KK674" i="99"/>
  <c r="JW674" i="99"/>
  <c r="JD674" i="99"/>
  <c r="IO674" i="99"/>
  <c r="KH674" i="99"/>
  <c r="JO674" i="99"/>
  <c r="IZ674" i="99"/>
  <c r="IG674" i="99"/>
  <c r="JC674" i="99"/>
  <c r="LG669" i="99"/>
  <c r="IK672" i="99"/>
  <c r="JA672" i="99"/>
  <c r="JN672" i="99"/>
  <c r="KB672" i="99"/>
  <c r="KR672" i="99"/>
  <c r="LE672" i="99"/>
  <c r="MH672" i="99"/>
  <c r="LG673" i="99"/>
  <c r="LJ673" i="99"/>
  <c r="X673" i="99"/>
  <c r="AK673" i="99"/>
  <c r="BA673" i="99"/>
  <c r="BN673" i="99"/>
  <c r="CB673" i="99"/>
  <c r="CR673" i="99"/>
  <c r="DE673" i="99"/>
  <c r="DR673" i="99"/>
  <c r="EH673" i="99"/>
  <c r="EV673" i="99"/>
  <c r="FI673" i="99"/>
  <c r="FY673" i="99"/>
  <c r="GL673" i="99"/>
  <c r="GZ673" i="99"/>
  <c r="HP673" i="99"/>
  <c r="IC673" i="99"/>
  <c r="IQ673" i="99"/>
  <c r="JK673" i="99"/>
  <c r="KB673" i="99"/>
  <c r="KR673" i="99"/>
  <c r="LI673" i="99"/>
  <c r="LY673" i="99"/>
  <c r="JP674" i="99"/>
  <c r="LJ670" i="99"/>
  <c r="LI670" i="99"/>
  <c r="LH670" i="99"/>
  <c r="IM672" i="99"/>
  <c r="JC672" i="99"/>
  <c r="JO672" i="99"/>
  <c r="KC672" i="99"/>
  <c r="MT673" i="99"/>
  <c r="ML673" i="99"/>
  <c r="MD673" i="99"/>
  <c r="LV673" i="99"/>
  <c r="LN673" i="99"/>
  <c r="LF673" i="99"/>
  <c r="KX673" i="99"/>
  <c r="KP673" i="99"/>
  <c r="KH673" i="99"/>
  <c r="JZ673" i="99"/>
  <c r="JR673" i="99"/>
  <c r="JJ673" i="99"/>
  <c r="JB673" i="99"/>
  <c r="IT673" i="99"/>
  <c r="IL673" i="99"/>
  <c r="ID673" i="99"/>
  <c r="HV673" i="99"/>
  <c r="HN673" i="99"/>
  <c r="HF673" i="99"/>
  <c r="GX673" i="99"/>
  <c r="GP673" i="99"/>
  <c r="GH673" i="99"/>
  <c r="FZ673" i="99"/>
  <c r="FR673" i="99"/>
  <c r="FJ673" i="99"/>
  <c r="FB673" i="99"/>
  <c r="ET673" i="99"/>
  <c r="EL673" i="99"/>
  <c r="ED673" i="99"/>
  <c r="DV673" i="99"/>
  <c r="DN673" i="99"/>
  <c r="DF673" i="99"/>
  <c r="CX673" i="99"/>
  <c r="CP673" i="99"/>
  <c r="CH673" i="99"/>
  <c r="BZ673" i="99"/>
  <c r="BR673" i="99"/>
  <c r="BJ673" i="99"/>
  <c r="BB673" i="99"/>
  <c r="AT673" i="99"/>
  <c r="AL673" i="99"/>
  <c r="AD673" i="99"/>
  <c r="MR673" i="99"/>
  <c r="MJ673" i="99"/>
  <c r="MB673" i="99"/>
  <c r="LT673" i="99"/>
  <c r="LL673" i="99"/>
  <c r="LD673" i="99"/>
  <c r="KV673" i="99"/>
  <c r="KN673" i="99"/>
  <c r="KF673" i="99"/>
  <c r="JX673" i="99"/>
  <c r="JP673" i="99"/>
  <c r="JH673" i="99"/>
  <c r="IZ673" i="99"/>
  <c r="IR673" i="99"/>
  <c r="IJ673" i="99"/>
  <c r="IB673" i="99"/>
  <c r="HT673" i="99"/>
  <c r="HL673" i="99"/>
  <c r="HD673" i="99"/>
  <c r="GV673" i="99"/>
  <c r="GN673" i="99"/>
  <c r="GF673" i="99"/>
  <c r="FX673" i="99"/>
  <c r="FP673" i="99"/>
  <c r="FH673" i="99"/>
  <c r="EZ673" i="99"/>
  <c r="ER673" i="99"/>
  <c r="EJ673" i="99"/>
  <c r="EB673" i="99"/>
  <c r="DT673" i="99"/>
  <c r="DL673" i="99"/>
  <c r="DD673" i="99"/>
  <c r="CV673" i="99"/>
  <c r="CN673" i="99"/>
  <c r="CF673" i="99"/>
  <c r="BX673" i="99"/>
  <c r="BP673" i="99"/>
  <c r="BH673" i="99"/>
  <c r="AZ673" i="99"/>
  <c r="AR673" i="99"/>
  <c r="AJ673" i="99"/>
  <c r="AB673" i="99"/>
  <c r="MM673" i="99"/>
  <c r="MA673" i="99"/>
  <c r="LQ673" i="99"/>
  <c r="KU673" i="99"/>
  <c r="KK673" i="99"/>
  <c r="KA673" i="99"/>
  <c r="JO673" i="99"/>
  <c r="JE673" i="99"/>
  <c r="IU673" i="99"/>
  <c r="II673" i="99"/>
  <c r="HY673" i="99"/>
  <c r="HO673" i="99"/>
  <c r="HC673" i="99"/>
  <c r="GS673" i="99"/>
  <c r="GI673" i="99"/>
  <c r="FW673" i="99"/>
  <c r="FM673" i="99"/>
  <c r="FC673" i="99"/>
  <c r="EQ673" i="99"/>
  <c r="EG673" i="99"/>
  <c r="DW673" i="99"/>
  <c r="DK673" i="99"/>
  <c r="DA673" i="99"/>
  <c r="CQ673" i="99"/>
  <c r="CE673" i="99"/>
  <c r="BU673" i="99"/>
  <c r="BK673" i="99"/>
  <c r="AY673" i="99"/>
  <c r="AO673" i="99"/>
  <c r="AE673" i="99"/>
  <c r="MK673" i="99"/>
  <c r="LZ673" i="99"/>
  <c r="LP673" i="99"/>
  <c r="LE673" i="99"/>
  <c r="KT673" i="99"/>
  <c r="KJ673" i="99"/>
  <c r="JY673" i="99"/>
  <c r="JN673" i="99"/>
  <c r="JD673" i="99"/>
  <c r="IS673" i="99"/>
  <c r="IH673" i="99"/>
  <c r="HX673" i="99"/>
  <c r="HM673" i="99"/>
  <c r="HB673" i="99"/>
  <c r="GR673" i="99"/>
  <c r="GG673" i="99"/>
  <c r="FV673" i="99"/>
  <c r="FL673" i="99"/>
  <c r="FA673" i="99"/>
  <c r="EP673" i="99"/>
  <c r="EF673" i="99"/>
  <c r="DU673" i="99"/>
  <c r="DJ673" i="99"/>
  <c r="CZ673" i="99"/>
  <c r="CO673" i="99"/>
  <c r="CD673" i="99"/>
  <c r="BT673" i="99"/>
  <c r="BI673" i="99"/>
  <c r="AX673" i="99"/>
  <c r="AN673" i="99"/>
  <c r="AC673" i="99"/>
  <c r="MP673" i="99"/>
  <c r="MF673" i="99"/>
  <c r="LU673" i="99"/>
  <c r="KZ673" i="99"/>
  <c r="KO673" i="99"/>
  <c r="KD673" i="99"/>
  <c r="JT673" i="99"/>
  <c r="JI673" i="99"/>
  <c r="IX673" i="99"/>
  <c r="IN673" i="99"/>
  <c r="Y673" i="99"/>
  <c r="AM673" i="99"/>
  <c r="BC673" i="99"/>
  <c r="BO673" i="99"/>
  <c r="CC673" i="99"/>
  <c r="CS673" i="99"/>
  <c r="DG673" i="99"/>
  <c r="DS673" i="99"/>
  <c r="EI673" i="99"/>
  <c r="EW673" i="99"/>
  <c r="FK673" i="99"/>
  <c r="GA673" i="99"/>
  <c r="GM673" i="99"/>
  <c r="HA673" i="99"/>
  <c r="HQ673" i="99"/>
  <c r="IE673" i="99"/>
  <c r="IV673" i="99"/>
  <c r="JL673" i="99"/>
  <c r="KC673" i="99"/>
  <c r="KS673" i="99"/>
  <c r="LK673" i="99"/>
  <c r="MC673" i="99"/>
  <c r="MS673" i="99"/>
  <c r="JU674" i="99"/>
  <c r="IF673" i="99"/>
  <c r="IW673" i="99"/>
  <c r="JM673" i="99"/>
  <c r="KE673" i="99"/>
  <c r="KI674" i="99"/>
  <c r="KY674" i="99"/>
  <c r="MA674" i="99"/>
  <c r="KS675" i="99"/>
  <c r="MO676" i="99"/>
  <c r="MG676" i="99"/>
  <c r="A676" i="99"/>
  <c r="A680" i="99"/>
  <c r="MT680" i="99"/>
  <c r="KI676" i="99"/>
  <c r="JC676" i="99"/>
  <c r="KC676" i="99"/>
  <c r="IW676" i="99"/>
  <c r="LA676" i="99"/>
  <c r="JU676" i="99"/>
  <c r="IO676" i="99"/>
  <c r="KS676" i="99"/>
  <c r="JM676" i="99"/>
  <c r="IG676" i="99"/>
  <c r="KK676" i="99"/>
  <c r="JE676" i="99"/>
  <c r="IE676" i="99"/>
  <c r="MT671" i="99"/>
  <c r="ML671" i="99"/>
  <c r="MD671" i="99"/>
  <c r="LV671" i="99"/>
  <c r="MR671" i="99"/>
  <c r="MJ671" i="99"/>
  <c r="MB671" i="99"/>
  <c r="Y671" i="99"/>
  <c r="AG671" i="99"/>
  <c r="AO671" i="99"/>
  <c r="AW671" i="99"/>
  <c r="BE671" i="99"/>
  <c r="BM671" i="99"/>
  <c r="BU671" i="99"/>
  <c r="CC671" i="99"/>
  <c r="CK671" i="99"/>
  <c r="CS671" i="99"/>
  <c r="DA671" i="99"/>
  <c r="DI671" i="99"/>
  <c r="DQ671" i="99"/>
  <c r="DY671" i="99"/>
  <c r="EG671" i="99"/>
  <c r="EO671" i="99"/>
  <c r="EW671" i="99"/>
  <c r="FE671" i="99"/>
  <c r="FM671" i="99"/>
  <c r="FU671" i="99"/>
  <c r="GC671" i="99"/>
  <c r="GK671" i="99"/>
  <c r="GS671" i="99"/>
  <c r="HA671" i="99"/>
  <c r="HI671" i="99"/>
  <c r="HQ671" i="99"/>
  <c r="HY671" i="99"/>
  <c r="IG671" i="99"/>
  <c r="IO671" i="99"/>
  <c r="IW671" i="99"/>
  <c r="JE671" i="99"/>
  <c r="JM671" i="99"/>
  <c r="JU671" i="99"/>
  <c r="KC671" i="99"/>
  <c r="KK671" i="99"/>
  <c r="KS671" i="99"/>
  <c r="LA671" i="99"/>
  <c r="LQ671" i="99"/>
  <c r="LZ671" i="99"/>
  <c r="MK671" i="99"/>
  <c r="X672" i="99"/>
  <c r="AH672" i="99"/>
  <c r="AS672" i="99"/>
  <c r="BD672" i="99"/>
  <c r="BN672" i="99"/>
  <c r="BY672" i="99"/>
  <c r="CJ672" i="99"/>
  <c r="CT672" i="99"/>
  <c r="DE672" i="99"/>
  <c r="DP672" i="99"/>
  <c r="DZ672" i="99"/>
  <c r="EK672" i="99"/>
  <c r="EV672" i="99"/>
  <c r="FF672" i="99"/>
  <c r="FQ672" i="99"/>
  <c r="GB672" i="99"/>
  <c r="GL672" i="99"/>
  <c r="GW672" i="99"/>
  <c r="HH672" i="99"/>
  <c r="HR672" i="99"/>
  <c r="IC672" i="99"/>
  <c r="IN672" i="99"/>
  <c r="IX672" i="99"/>
  <c r="JI672" i="99"/>
  <c r="JT672" i="99"/>
  <c r="KD672" i="99"/>
  <c r="KO672" i="99"/>
  <c r="KZ672" i="99"/>
  <c r="LJ672" i="99"/>
  <c r="LU672" i="99"/>
  <c r="MF672" i="99"/>
  <c r="LJ674" i="99"/>
  <c r="LH674" i="99"/>
  <c r="X674" i="99"/>
  <c r="AH674" i="99"/>
  <c r="AS674" i="99"/>
  <c r="BD674" i="99"/>
  <c r="BN674" i="99"/>
  <c r="BY674" i="99"/>
  <c r="CJ674" i="99"/>
  <c r="CT674" i="99"/>
  <c r="DE674" i="99"/>
  <c r="DP674" i="99"/>
  <c r="EA674" i="99"/>
  <c r="EO674" i="99"/>
  <c r="FC674" i="99"/>
  <c r="FN674" i="99"/>
  <c r="GB674" i="99"/>
  <c r="GM674" i="99"/>
  <c r="HA674" i="99"/>
  <c r="HO674" i="99"/>
  <c r="HZ674" i="99"/>
  <c r="IQ674" i="99"/>
  <c r="JE674" i="99"/>
  <c r="JX674" i="99"/>
  <c r="KQ674" i="99"/>
  <c r="LL674" i="99"/>
  <c r="KU675" i="99"/>
  <c r="KA675" i="99"/>
  <c r="JE675" i="99"/>
  <c r="II675" i="99"/>
  <c r="JC675" i="99"/>
  <c r="JK676" i="99"/>
  <c r="MP677" i="99"/>
  <c r="MH677" i="99"/>
  <c r="LZ677" i="99"/>
  <c r="LR677" i="99"/>
  <c r="LB677" i="99"/>
  <c r="KT677" i="99"/>
  <c r="KL677" i="99"/>
  <c r="KD677" i="99"/>
  <c r="JV677" i="99"/>
  <c r="JN677" i="99"/>
  <c r="JF677" i="99"/>
  <c r="MO677" i="99"/>
  <c r="MF677" i="99"/>
  <c r="LW677" i="99"/>
  <c r="LN677" i="99"/>
  <c r="LE677" i="99"/>
  <c r="KV677" i="99"/>
  <c r="KM677" i="99"/>
  <c r="KC677" i="99"/>
  <c r="JT677" i="99"/>
  <c r="JK677" i="99"/>
  <c r="JB677" i="99"/>
  <c r="IT677" i="99"/>
  <c r="IL677" i="99"/>
  <c r="ID677" i="99"/>
  <c r="HV677" i="99"/>
  <c r="HN677" i="99"/>
  <c r="HF677" i="99"/>
  <c r="GX677" i="99"/>
  <c r="GP677" i="99"/>
  <c r="GH677" i="99"/>
  <c r="FZ677" i="99"/>
  <c r="FR677" i="99"/>
  <c r="FJ677" i="99"/>
  <c r="FB677" i="99"/>
  <c r="ET677" i="99"/>
  <c r="EL677" i="99"/>
  <c r="ED677" i="99"/>
  <c r="DV677" i="99"/>
  <c r="DN677" i="99"/>
  <c r="DF677" i="99"/>
  <c r="CX677" i="99"/>
  <c r="CP677" i="99"/>
  <c r="CH677" i="99"/>
  <c r="BZ677" i="99"/>
  <c r="BR677" i="99"/>
  <c r="BJ677" i="99"/>
  <c r="BB677" i="99"/>
  <c r="AT677" i="99"/>
  <c r="AL677" i="99"/>
  <c r="AD677" i="99"/>
  <c r="MN677" i="99"/>
  <c r="ME677" i="99"/>
  <c r="LV677" i="99"/>
  <c r="LM677" i="99"/>
  <c r="LD677" i="99"/>
  <c r="KU677" i="99"/>
  <c r="KK677" i="99"/>
  <c r="KB677" i="99"/>
  <c r="JS677" i="99"/>
  <c r="JJ677" i="99"/>
  <c r="JA677" i="99"/>
  <c r="IS677" i="99"/>
  <c r="IK677" i="99"/>
  <c r="IC677" i="99"/>
  <c r="HU677" i="99"/>
  <c r="HM677" i="99"/>
  <c r="HE677" i="99"/>
  <c r="GW677" i="99"/>
  <c r="GO677" i="99"/>
  <c r="GG677" i="99"/>
  <c r="FY677" i="99"/>
  <c r="FQ677" i="99"/>
  <c r="FI677" i="99"/>
  <c r="FA677" i="99"/>
  <c r="ES677" i="99"/>
  <c r="EK677" i="99"/>
  <c r="EC677" i="99"/>
  <c r="DU677" i="99"/>
  <c r="DM677" i="99"/>
  <c r="DE677" i="99"/>
  <c r="CW677" i="99"/>
  <c r="CO677" i="99"/>
  <c r="CG677" i="99"/>
  <c r="BY677" i="99"/>
  <c r="BQ677" i="99"/>
  <c r="BI677" i="99"/>
  <c r="BA677" i="99"/>
  <c r="AS677" i="99"/>
  <c r="AK677" i="99"/>
  <c r="AC677" i="99"/>
  <c r="MM677" i="99"/>
  <c r="MD677" i="99"/>
  <c r="LU677" i="99"/>
  <c r="LL677" i="99"/>
  <c r="LC677" i="99"/>
  <c r="KS677" i="99"/>
  <c r="KJ677" i="99"/>
  <c r="KA677" i="99"/>
  <c r="JR677" i="99"/>
  <c r="JI677" i="99"/>
  <c r="IZ677" i="99"/>
  <c r="IR677" i="99"/>
  <c r="IJ677" i="99"/>
  <c r="IB677" i="99"/>
  <c r="HT677" i="99"/>
  <c r="HL677" i="99"/>
  <c r="HD677" i="99"/>
  <c r="GV677" i="99"/>
  <c r="GN677" i="99"/>
  <c r="GF677" i="99"/>
  <c r="FX677" i="99"/>
  <c r="FP677" i="99"/>
  <c r="FH677" i="99"/>
  <c r="EZ677" i="99"/>
  <c r="ER677" i="99"/>
  <c r="EJ677" i="99"/>
  <c r="EB677" i="99"/>
  <c r="DT677" i="99"/>
  <c r="DL677" i="99"/>
  <c r="DD677" i="99"/>
  <c r="CV677" i="99"/>
  <c r="CN677" i="99"/>
  <c r="CF677" i="99"/>
  <c r="BX677" i="99"/>
  <c r="BP677" i="99"/>
  <c r="BH677" i="99"/>
  <c r="AZ677" i="99"/>
  <c r="AR677" i="99"/>
  <c r="AJ677" i="99"/>
  <c r="AB677" i="99"/>
  <c r="ML677" i="99"/>
  <c r="MC677" i="99"/>
  <c r="LT677" i="99"/>
  <c r="LK677" i="99"/>
  <c r="LA677" i="99"/>
  <c r="KR677" i="99"/>
  <c r="KI677" i="99"/>
  <c r="JZ677" i="99"/>
  <c r="JQ677" i="99"/>
  <c r="JH677" i="99"/>
  <c r="IY677" i="99"/>
  <c r="IQ677" i="99"/>
  <c r="II677" i="99"/>
  <c r="IA677" i="99"/>
  <c r="HS677" i="99"/>
  <c r="HK677" i="99"/>
  <c r="HC677" i="99"/>
  <c r="GU677" i="99"/>
  <c r="GM677" i="99"/>
  <c r="GE677" i="99"/>
  <c r="FW677" i="99"/>
  <c r="FO677" i="99"/>
  <c r="FG677" i="99"/>
  <c r="EY677" i="99"/>
  <c r="EQ677" i="99"/>
  <c r="EI677" i="99"/>
  <c r="EA677" i="99"/>
  <c r="DS677" i="99"/>
  <c r="DK677" i="99"/>
  <c r="DC677" i="99"/>
  <c r="CU677" i="99"/>
  <c r="CM677" i="99"/>
  <c r="CE677" i="99"/>
  <c r="BW677" i="99"/>
  <c r="BO677" i="99"/>
  <c r="BG677" i="99"/>
  <c r="AY677" i="99"/>
  <c r="AQ677" i="99"/>
  <c r="AI677" i="99"/>
  <c r="AA677" i="99"/>
  <c r="MT677" i="99"/>
  <c r="MK677" i="99"/>
  <c r="MB677" i="99"/>
  <c r="LS677" i="99"/>
  <c r="KZ677" i="99"/>
  <c r="KQ677" i="99"/>
  <c r="KH677" i="99"/>
  <c r="JY677" i="99"/>
  <c r="JP677" i="99"/>
  <c r="JG677" i="99"/>
  <c r="IX677" i="99"/>
  <c r="IP677" i="99"/>
  <c r="IH677" i="99"/>
  <c r="HZ677" i="99"/>
  <c r="HR677" i="99"/>
  <c r="HJ677" i="99"/>
  <c r="HB677" i="99"/>
  <c r="GT677" i="99"/>
  <c r="GL677" i="99"/>
  <c r="GD677" i="99"/>
  <c r="FV677" i="99"/>
  <c r="FN677" i="99"/>
  <c r="FF677" i="99"/>
  <c r="EX677" i="99"/>
  <c r="EP677" i="99"/>
  <c r="EH677" i="99"/>
  <c r="DZ677" i="99"/>
  <c r="DR677" i="99"/>
  <c r="DJ677" i="99"/>
  <c r="DB677" i="99"/>
  <c r="CT677" i="99"/>
  <c r="CL677" i="99"/>
  <c r="CD677" i="99"/>
  <c r="BV677" i="99"/>
  <c r="BN677" i="99"/>
  <c r="BF677" i="99"/>
  <c r="AX677" i="99"/>
  <c r="AP677" i="99"/>
  <c r="AH677" i="99"/>
  <c r="Z677" i="99"/>
  <c r="MR677" i="99"/>
  <c r="MI677" i="99"/>
  <c r="LY677" i="99"/>
  <c r="LP677" i="99"/>
  <c r="KX677" i="99"/>
  <c r="KO677" i="99"/>
  <c r="KF677" i="99"/>
  <c r="JW677" i="99"/>
  <c r="JM677" i="99"/>
  <c r="JD677" i="99"/>
  <c r="IV677" i="99"/>
  <c r="IN677" i="99"/>
  <c r="IF677" i="99"/>
  <c r="HX677" i="99"/>
  <c r="HP677" i="99"/>
  <c r="HH677" i="99"/>
  <c r="GZ677" i="99"/>
  <c r="GR677" i="99"/>
  <c r="GJ677" i="99"/>
  <c r="GB677" i="99"/>
  <c r="FT677" i="99"/>
  <c r="FL677" i="99"/>
  <c r="FD677" i="99"/>
  <c r="EV677" i="99"/>
  <c r="EN677" i="99"/>
  <c r="EF677" i="99"/>
  <c r="DX677" i="99"/>
  <c r="DP677" i="99"/>
  <c r="DH677" i="99"/>
  <c r="CZ677" i="99"/>
  <c r="CR677" i="99"/>
  <c r="CJ677" i="99"/>
  <c r="CB677" i="99"/>
  <c r="BT677" i="99"/>
  <c r="BL677" i="99"/>
  <c r="BD677" i="99"/>
  <c r="AV677" i="99"/>
  <c r="AN677" i="99"/>
  <c r="AF677" i="99"/>
  <c r="X677" i="99"/>
  <c r="LQ677" i="99"/>
  <c r="KG677" i="99"/>
  <c r="IW677" i="99"/>
  <c r="HQ677" i="99"/>
  <c r="GK677" i="99"/>
  <c r="FE677" i="99"/>
  <c r="DY677" i="99"/>
  <c r="CS677" i="99"/>
  <c r="BM677" i="99"/>
  <c r="AG677" i="99"/>
  <c r="A677" i="99"/>
  <c r="LO677" i="99"/>
  <c r="KE677" i="99"/>
  <c r="IU677" i="99"/>
  <c r="HO677" i="99"/>
  <c r="GI677" i="99"/>
  <c r="FC677" i="99"/>
  <c r="DW677" i="99"/>
  <c r="CQ677" i="99"/>
  <c r="BK677" i="99"/>
  <c r="AE677" i="99"/>
  <c r="MS677" i="99"/>
  <c r="LH677" i="99"/>
  <c r="JX677" i="99"/>
  <c r="IO677" i="99"/>
  <c r="HI677" i="99"/>
  <c r="GC677" i="99"/>
  <c r="EW677" i="99"/>
  <c r="DQ677" i="99"/>
  <c r="CK677" i="99"/>
  <c r="BE677" i="99"/>
  <c r="Y677" i="99"/>
  <c r="MQ677" i="99"/>
  <c r="LF677" i="99"/>
  <c r="JU677" i="99"/>
  <c r="IM677" i="99"/>
  <c r="HG677" i="99"/>
  <c r="GA677" i="99"/>
  <c r="EU677" i="99"/>
  <c r="DO677" i="99"/>
  <c r="CI677" i="99"/>
  <c r="BC677" i="99"/>
  <c r="MJ677" i="99"/>
  <c r="KY677" i="99"/>
  <c r="JO677" i="99"/>
  <c r="IG677" i="99"/>
  <c r="HA677" i="99"/>
  <c r="FU677" i="99"/>
  <c r="EO677" i="99"/>
  <c r="DI677" i="99"/>
  <c r="CC677" i="99"/>
  <c r="AW677" i="99"/>
  <c r="MG677" i="99"/>
  <c r="KW677" i="99"/>
  <c r="JL677" i="99"/>
  <c r="IE677" i="99"/>
  <c r="GY677" i="99"/>
  <c r="FS677" i="99"/>
  <c r="EM677" i="99"/>
  <c r="DG677" i="99"/>
  <c r="CA677" i="99"/>
  <c r="AU677" i="99"/>
  <c r="LX677" i="99"/>
  <c r="KN677" i="99"/>
  <c r="JC677" i="99"/>
  <c r="HW677" i="99"/>
  <c r="GQ677" i="99"/>
  <c r="FK677" i="99"/>
  <c r="EE677" i="99"/>
  <c r="CY677" i="99"/>
  <c r="BS677" i="99"/>
  <c r="AM677" i="99"/>
  <c r="FM677" i="99"/>
  <c r="Z671" i="99"/>
  <c r="AH671" i="99"/>
  <c r="AP671" i="99"/>
  <c r="AX671" i="99"/>
  <c r="BF671" i="99"/>
  <c r="BN671" i="99"/>
  <c r="BV671" i="99"/>
  <c r="CD671" i="99"/>
  <c r="CL671" i="99"/>
  <c r="CT671" i="99"/>
  <c r="DB671" i="99"/>
  <c r="DJ671" i="99"/>
  <c r="DR671" i="99"/>
  <c r="DZ671" i="99"/>
  <c r="EH671" i="99"/>
  <c r="EP671" i="99"/>
  <c r="EX671" i="99"/>
  <c r="FF671" i="99"/>
  <c r="FN671" i="99"/>
  <c r="FV671" i="99"/>
  <c r="GD671" i="99"/>
  <c r="GL671" i="99"/>
  <c r="GT671" i="99"/>
  <c r="HB671" i="99"/>
  <c r="HJ671" i="99"/>
  <c r="HR671" i="99"/>
  <c r="HZ671" i="99"/>
  <c r="IH671" i="99"/>
  <c r="IP671" i="99"/>
  <c r="IX671" i="99"/>
  <c r="JF671" i="99"/>
  <c r="JN671" i="99"/>
  <c r="JV671" i="99"/>
  <c r="KD671" i="99"/>
  <c r="KL671" i="99"/>
  <c r="KT671" i="99"/>
  <c r="LB671" i="99"/>
  <c r="LR671" i="99"/>
  <c r="MA671" i="99"/>
  <c r="MM671" i="99"/>
  <c r="MT672" i="99"/>
  <c r="ML672" i="99"/>
  <c r="MD672" i="99"/>
  <c r="LV672" i="99"/>
  <c r="LN672" i="99"/>
  <c r="LF672" i="99"/>
  <c r="KX672" i="99"/>
  <c r="KP672" i="99"/>
  <c r="KH672" i="99"/>
  <c r="JZ672" i="99"/>
  <c r="JR672" i="99"/>
  <c r="JJ672" i="99"/>
  <c r="JB672" i="99"/>
  <c r="IT672" i="99"/>
  <c r="IL672" i="99"/>
  <c r="ID672" i="99"/>
  <c r="HV672" i="99"/>
  <c r="HN672" i="99"/>
  <c r="HF672" i="99"/>
  <c r="GX672" i="99"/>
  <c r="GP672" i="99"/>
  <c r="GH672" i="99"/>
  <c r="FZ672" i="99"/>
  <c r="FR672" i="99"/>
  <c r="FJ672" i="99"/>
  <c r="FB672" i="99"/>
  <c r="ET672" i="99"/>
  <c r="EL672" i="99"/>
  <c r="ED672" i="99"/>
  <c r="DV672" i="99"/>
  <c r="DN672" i="99"/>
  <c r="DF672" i="99"/>
  <c r="CX672" i="99"/>
  <c r="CP672" i="99"/>
  <c r="CH672" i="99"/>
  <c r="BZ672" i="99"/>
  <c r="BR672" i="99"/>
  <c r="BJ672" i="99"/>
  <c r="BB672" i="99"/>
  <c r="AT672" i="99"/>
  <c r="AL672" i="99"/>
  <c r="AD672" i="99"/>
  <c r="MR672" i="99"/>
  <c r="MJ672" i="99"/>
  <c r="MB672" i="99"/>
  <c r="LT672" i="99"/>
  <c r="LL672" i="99"/>
  <c r="LD672" i="99"/>
  <c r="KV672" i="99"/>
  <c r="KN672" i="99"/>
  <c r="KF672" i="99"/>
  <c r="JX672" i="99"/>
  <c r="JP672" i="99"/>
  <c r="JH672" i="99"/>
  <c r="IZ672" i="99"/>
  <c r="IR672" i="99"/>
  <c r="IJ672" i="99"/>
  <c r="IB672" i="99"/>
  <c r="HT672" i="99"/>
  <c r="HL672" i="99"/>
  <c r="HD672" i="99"/>
  <c r="GV672" i="99"/>
  <c r="GN672" i="99"/>
  <c r="GF672" i="99"/>
  <c r="FX672" i="99"/>
  <c r="FP672" i="99"/>
  <c r="FH672" i="99"/>
  <c r="EZ672" i="99"/>
  <c r="ER672" i="99"/>
  <c r="EJ672" i="99"/>
  <c r="EB672" i="99"/>
  <c r="DT672" i="99"/>
  <c r="DL672" i="99"/>
  <c r="DD672" i="99"/>
  <c r="CV672" i="99"/>
  <c r="CN672" i="99"/>
  <c r="CF672" i="99"/>
  <c r="BX672" i="99"/>
  <c r="BP672" i="99"/>
  <c r="BH672" i="99"/>
  <c r="AZ672" i="99"/>
  <c r="AR672" i="99"/>
  <c r="AJ672" i="99"/>
  <c r="AB672" i="99"/>
  <c r="Y672" i="99"/>
  <c r="AI672" i="99"/>
  <c r="AU672" i="99"/>
  <c r="BE672" i="99"/>
  <c r="BO672" i="99"/>
  <c r="CA672" i="99"/>
  <c r="CK672" i="99"/>
  <c r="CU672" i="99"/>
  <c r="DG672" i="99"/>
  <c r="DQ672" i="99"/>
  <c r="EA672" i="99"/>
  <c r="EM672" i="99"/>
  <c r="EW672" i="99"/>
  <c r="FG672" i="99"/>
  <c r="FS672" i="99"/>
  <c r="GC672" i="99"/>
  <c r="GM672" i="99"/>
  <c r="GY672" i="99"/>
  <c r="HI672" i="99"/>
  <c r="HS672" i="99"/>
  <c r="IE672" i="99"/>
  <c r="IO672" i="99"/>
  <c r="IY672" i="99"/>
  <c r="JK672" i="99"/>
  <c r="JU672" i="99"/>
  <c r="KE672" i="99"/>
  <c r="KQ672" i="99"/>
  <c r="LA672" i="99"/>
  <c r="LW672" i="99"/>
  <c r="MG672" i="99"/>
  <c r="MQ672" i="99"/>
  <c r="MT674" i="99"/>
  <c r="ML674" i="99"/>
  <c r="MD674" i="99"/>
  <c r="LV674" i="99"/>
  <c r="LN674" i="99"/>
  <c r="LF674" i="99"/>
  <c r="KX674" i="99"/>
  <c r="MS674" i="99"/>
  <c r="MK674" i="99"/>
  <c r="MC674" i="99"/>
  <c r="LU674" i="99"/>
  <c r="LM674" i="99"/>
  <c r="LE674" i="99"/>
  <c r="KW674" i="99"/>
  <c r="KO674" i="99"/>
  <c r="KG674" i="99"/>
  <c r="JY674" i="99"/>
  <c r="JQ674" i="99"/>
  <c r="JI674" i="99"/>
  <c r="JA674" i="99"/>
  <c r="IS674" i="99"/>
  <c r="IK674" i="99"/>
  <c r="MP674" i="99"/>
  <c r="MH674" i="99"/>
  <c r="LZ674" i="99"/>
  <c r="LR674" i="99"/>
  <c r="LB674" i="99"/>
  <c r="KT674" i="99"/>
  <c r="KL674" i="99"/>
  <c r="KD674" i="99"/>
  <c r="JV674" i="99"/>
  <c r="JN674" i="99"/>
  <c r="JF674" i="99"/>
  <c r="IX674" i="99"/>
  <c r="IP674" i="99"/>
  <c r="IH674" i="99"/>
  <c r="MN674" i="99"/>
  <c r="MF674" i="99"/>
  <c r="LX674" i="99"/>
  <c r="LP674" i="99"/>
  <c r="KZ674" i="99"/>
  <c r="KR674" i="99"/>
  <c r="MJ674" i="99"/>
  <c r="LT674" i="99"/>
  <c r="LD674" i="99"/>
  <c r="KP674" i="99"/>
  <c r="KE674" i="99"/>
  <c r="JT674" i="99"/>
  <c r="JJ674" i="99"/>
  <c r="IY674" i="99"/>
  <c r="IN674" i="99"/>
  <c r="ID674" i="99"/>
  <c r="HV674" i="99"/>
  <c r="HN674" i="99"/>
  <c r="HF674" i="99"/>
  <c r="GX674" i="99"/>
  <c r="GP674" i="99"/>
  <c r="GH674" i="99"/>
  <c r="FZ674" i="99"/>
  <c r="FR674" i="99"/>
  <c r="FJ674" i="99"/>
  <c r="FB674" i="99"/>
  <c r="ET674" i="99"/>
  <c r="EL674" i="99"/>
  <c r="ED674" i="99"/>
  <c r="DV674" i="99"/>
  <c r="DN674" i="99"/>
  <c r="DF674" i="99"/>
  <c r="CX674" i="99"/>
  <c r="CP674" i="99"/>
  <c r="CH674" i="99"/>
  <c r="BZ674" i="99"/>
  <c r="BR674" i="99"/>
  <c r="BJ674" i="99"/>
  <c r="BB674" i="99"/>
  <c r="AT674" i="99"/>
  <c r="AL674" i="99"/>
  <c r="AD674" i="99"/>
  <c r="MI674" i="99"/>
  <c r="LS674" i="99"/>
  <c r="LC674" i="99"/>
  <c r="KN674" i="99"/>
  <c r="KC674" i="99"/>
  <c r="JS674" i="99"/>
  <c r="JH674" i="99"/>
  <c r="IW674" i="99"/>
  <c r="IM674" i="99"/>
  <c r="IC674" i="99"/>
  <c r="HU674" i="99"/>
  <c r="HM674" i="99"/>
  <c r="HE674" i="99"/>
  <c r="GW674" i="99"/>
  <c r="GO674" i="99"/>
  <c r="GG674" i="99"/>
  <c r="FY674" i="99"/>
  <c r="FQ674" i="99"/>
  <c r="FI674" i="99"/>
  <c r="FA674" i="99"/>
  <c r="ES674" i="99"/>
  <c r="EK674" i="99"/>
  <c r="EC674" i="99"/>
  <c r="DU674" i="99"/>
  <c r="MG674" i="99"/>
  <c r="LQ674" i="99"/>
  <c r="LA674" i="99"/>
  <c r="KM674" i="99"/>
  <c r="KB674" i="99"/>
  <c r="JR674" i="99"/>
  <c r="JG674" i="99"/>
  <c r="IV674" i="99"/>
  <c r="IL674" i="99"/>
  <c r="IB674" i="99"/>
  <c r="HT674" i="99"/>
  <c r="HL674" i="99"/>
  <c r="HD674" i="99"/>
  <c r="GV674" i="99"/>
  <c r="GN674" i="99"/>
  <c r="GF674" i="99"/>
  <c r="FX674" i="99"/>
  <c r="FP674" i="99"/>
  <c r="FH674" i="99"/>
  <c r="EZ674" i="99"/>
  <c r="ER674" i="99"/>
  <c r="EJ674" i="99"/>
  <c r="EB674" i="99"/>
  <c r="DT674" i="99"/>
  <c r="DL674" i="99"/>
  <c r="DD674" i="99"/>
  <c r="CV674" i="99"/>
  <c r="CN674" i="99"/>
  <c r="CF674" i="99"/>
  <c r="BX674" i="99"/>
  <c r="BP674" i="99"/>
  <c r="BH674" i="99"/>
  <c r="AZ674" i="99"/>
  <c r="AR674" i="99"/>
  <c r="AJ674" i="99"/>
  <c r="AB674" i="99"/>
  <c r="Y674" i="99"/>
  <c r="AI674" i="99"/>
  <c r="AU674" i="99"/>
  <c r="BE674" i="99"/>
  <c r="BO674" i="99"/>
  <c r="CA674" i="99"/>
  <c r="CK674" i="99"/>
  <c r="CU674" i="99"/>
  <c r="DG674" i="99"/>
  <c r="DQ674" i="99"/>
  <c r="EE674" i="99"/>
  <c r="EP674" i="99"/>
  <c r="FD674" i="99"/>
  <c r="FO674" i="99"/>
  <c r="GC674" i="99"/>
  <c r="GQ674" i="99"/>
  <c r="HB674" i="99"/>
  <c r="HP674" i="99"/>
  <c r="IA674" i="99"/>
  <c r="IR674" i="99"/>
  <c r="JK674" i="99"/>
  <c r="JZ674" i="99"/>
  <c r="KS674" i="99"/>
  <c r="LO674" i="99"/>
  <c r="MQ674" i="99"/>
  <c r="JG675" i="99"/>
  <c r="MI675" i="99"/>
  <c r="KQ676" i="99"/>
  <c r="GS677" i="99"/>
  <c r="MF678" i="99"/>
  <c r="A678" i="99"/>
  <c r="MQ678" i="99"/>
  <c r="HR678" i="99"/>
  <c r="GX678" i="99"/>
  <c r="HN678" i="99"/>
  <c r="HH678" i="99"/>
  <c r="GR678" i="99"/>
  <c r="GL678" i="99"/>
  <c r="KA674" i="99"/>
  <c r="KU674" i="99"/>
  <c r="LW674" i="99"/>
  <c r="MR674" i="99"/>
  <c r="L675" i="99"/>
  <c r="M675" i="99" s="1"/>
  <c r="JW675" i="99"/>
  <c r="MO675" i="99"/>
  <c r="HG674" i="99"/>
  <c r="HR674" i="99"/>
  <c r="IF674" i="99"/>
  <c r="IU674" i="99"/>
  <c r="JM674" i="99"/>
  <c r="KF674" i="99"/>
  <c r="KV674" i="99"/>
  <c r="LY674" i="99"/>
  <c r="A675" i="99"/>
  <c r="KC675" i="99"/>
  <c r="JE677" i="99"/>
  <c r="MM675" i="99"/>
  <c r="DA676" i="99"/>
  <c r="DW676" i="99"/>
  <c r="BA678" i="99"/>
  <c r="CS678" i="99"/>
  <c r="FC678" i="99"/>
  <c r="LP678" i="99"/>
  <c r="IO675" i="99"/>
  <c r="JK675" i="99"/>
  <c r="KE675" i="99"/>
  <c r="LA675" i="99"/>
  <c r="LW675" i="99"/>
  <c r="MQ675" i="99"/>
  <c r="L676" i="99"/>
  <c r="M676" i="99" s="1"/>
  <c r="CK676" i="99"/>
  <c r="DG676" i="99"/>
  <c r="EA676" i="99"/>
  <c r="BK678" i="99"/>
  <c r="DH678" i="99"/>
  <c r="FV678" i="99"/>
  <c r="LJ675" i="99"/>
  <c r="AB675" i="99"/>
  <c r="AR675" i="99"/>
  <c r="BH675" i="99"/>
  <c r="CC675" i="99"/>
  <c r="CY675" i="99"/>
  <c r="DS675" i="99"/>
  <c r="EO675" i="99"/>
  <c r="FK675" i="99"/>
  <c r="GE675" i="99"/>
  <c r="HA675" i="99"/>
  <c r="HW675" i="99"/>
  <c r="IQ675" i="99"/>
  <c r="JM675" i="99"/>
  <c r="KI675" i="99"/>
  <c r="LC675" i="99"/>
  <c r="AA676" i="99"/>
  <c r="AW676" i="99"/>
  <c r="BS676" i="99"/>
  <c r="CM676" i="99"/>
  <c r="DI676" i="99"/>
  <c r="EE676" i="99"/>
  <c r="EY676" i="99"/>
  <c r="FU676" i="99"/>
  <c r="GQ676" i="99"/>
  <c r="HK676" i="99"/>
  <c r="IM676" i="99"/>
  <c r="JS676" i="99"/>
  <c r="KY676" i="99"/>
  <c r="AC678" i="99"/>
  <c r="BS678" i="99"/>
  <c r="DS678" i="99"/>
  <c r="MT675" i="99"/>
  <c r="ML675" i="99"/>
  <c r="MD675" i="99"/>
  <c r="LV675" i="99"/>
  <c r="LN675" i="99"/>
  <c r="LF675" i="99"/>
  <c r="KX675" i="99"/>
  <c r="KP675" i="99"/>
  <c r="KH675" i="99"/>
  <c r="JZ675" i="99"/>
  <c r="JR675" i="99"/>
  <c r="JJ675" i="99"/>
  <c r="JB675" i="99"/>
  <c r="IT675" i="99"/>
  <c r="IL675" i="99"/>
  <c r="ID675" i="99"/>
  <c r="HV675" i="99"/>
  <c r="HN675" i="99"/>
  <c r="HF675" i="99"/>
  <c r="GX675" i="99"/>
  <c r="GP675" i="99"/>
  <c r="GH675" i="99"/>
  <c r="FZ675" i="99"/>
  <c r="FR675" i="99"/>
  <c r="FJ675" i="99"/>
  <c r="FB675" i="99"/>
  <c r="ET675" i="99"/>
  <c r="EL675" i="99"/>
  <c r="ED675" i="99"/>
  <c r="DV675" i="99"/>
  <c r="DN675" i="99"/>
  <c r="DF675" i="99"/>
  <c r="CX675" i="99"/>
  <c r="CP675" i="99"/>
  <c r="CH675" i="99"/>
  <c r="BZ675" i="99"/>
  <c r="BR675" i="99"/>
  <c r="BJ675" i="99"/>
  <c r="BB675" i="99"/>
  <c r="AT675" i="99"/>
  <c r="AL675" i="99"/>
  <c r="AD675" i="99"/>
  <c r="MS675" i="99"/>
  <c r="MK675" i="99"/>
  <c r="MC675" i="99"/>
  <c r="LU675" i="99"/>
  <c r="LM675" i="99"/>
  <c r="LE675" i="99"/>
  <c r="KW675" i="99"/>
  <c r="KO675" i="99"/>
  <c r="KG675" i="99"/>
  <c r="JY675" i="99"/>
  <c r="JQ675" i="99"/>
  <c r="JI675" i="99"/>
  <c r="JA675" i="99"/>
  <c r="IS675" i="99"/>
  <c r="IK675" i="99"/>
  <c r="IC675" i="99"/>
  <c r="HU675" i="99"/>
  <c r="HM675" i="99"/>
  <c r="HE675" i="99"/>
  <c r="GW675" i="99"/>
  <c r="GO675" i="99"/>
  <c r="GG675" i="99"/>
  <c r="FY675" i="99"/>
  <c r="FQ675" i="99"/>
  <c r="FI675" i="99"/>
  <c r="FA675" i="99"/>
  <c r="ES675" i="99"/>
  <c r="EK675" i="99"/>
  <c r="EC675" i="99"/>
  <c r="DU675" i="99"/>
  <c r="DM675" i="99"/>
  <c r="DE675" i="99"/>
  <c r="CW675" i="99"/>
  <c r="CO675" i="99"/>
  <c r="CG675" i="99"/>
  <c r="BY675" i="99"/>
  <c r="BQ675" i="99"/>
  <c r="BI675" i="99"/>
  <c r="BA675" i="99"/>
  <c r="AS675" i="99"/>
  <c r="AK675" i="99"/>
  <c r="AC675" i="99"/>
  <c r="MR675" i="99"/>
  <c r="MJ675" i="99"/>
  <c r="MB675" i="99"/>
  <c r="LT675" i="99"/>
  <c r="LL675" i="99"/>
  <c r="LD675" i="99"/>
  <c r="KV675" i="99"/>
  <c r="KN675" i="99"/>
  <c r="KF675" i="99"/>
  <c r="JX675" i="99"/>
  <c r="JP675" i="99"/>
  <c r="JH675" i="99"/>
  <c r="IZ675" i="99"/>
  <c r="IR675" i="99"/>
  <c r="IJ675" i="99"/>
  <c r="IB675" i="99"/>
  <c r="HT675" i="99"/>
  <c r="HL675" i="99"/>
  <c r="HD675" i="99"/>
  <c r="GV675" i="99"/>
  <c r="GN675" i="99"/>
  <c r="GF675" i="99"/>
  <c r="FX675" i="99"/>
  <c r="FP675" i="99"/>
  <c r="FH675" i="99"/>
  <c r="EZ675" i="99"/>
  <c r="ER675" i="99"/>
  <c r="EJ675" i="99"/>
  <c r="EB675" i="99"/>
  <c r="DT675" i="99"/>
  <c r="DL675" i="99"/>
  <c r="DD675" i="99"/>
  <c r="CV675" i="99"/>
  <c r="CN675" i="99"/>
  <c r="CF675" i="99"/>
  <c r="BX675" i="99"/>
  <c r="BP675" i="99"/>
  <c r="MP675" i="99"/>
  <c r="MH675" i="99"/>
  <c r="LZ675" i="99"/>
  <c r="LR675" i="99"/>
  <c r="LB675" i="99"/>
  <c r="KT675" i="99"/>
  <c r="KL675" i="99"/>
  <c r="KD675" i="99"/>
  <c r="JV675" i="99"/>
  <c r="JN675" i="99"/>
  <c r="JF675" i="99"/>
  <c r="IX675" i="99"/>
  <c r="IP675" i="99"/>
  <c r="IH675" i="99"/>
  <c r="HZ675" i="99"/>
  <c r="HR675" i="99"/>
  <c r="HJ675" i="99"/>
  <c r="HB675" i="99"/>
  <c r="GT675" i="99"/>
  <c r="GL675" i="99"/>
  <c r="GD675" i="99"/>
  <c r="FV675" i="99"/>
  <c r="FN675" i="99"/>
  <c r="FF675" i="99"/>
  <c r="EX675" i="99"/>
  <c r="EP675" i="99"/>
  <c r="EH675" i="99"/>
  <c r="DZ675" i="99"/>
  <c r="DR675" i="99"/>
  <c r="DJ675" i="99"/>
  <c r="DB675" i="99"/>
  <c r="CT675" i="99"/>
  <c r="CL675" i="99"/>
  <c r="CD675" i="99"/>
  <c r="BV675" i="99"/>
  <c r="BN675" i="99"/>
  <c r="BF675" i="99"/>
  <c r="AX675" i="99"/>
  <c r="AP675" i="99"/>
  <c r="AH675" i="99"/>
  <c r="Z675" i="99"/>
  <c r="MN675" i="99"/>
  <c r="MF675" i="99"/>
  <c r="LX675" i="99"/>
  <c r="LP675" i="99"/>
  <c r="KZ675" i="99"/>
  <c r="KR675" i="99"/>
  <c r="KJ675" i="99"/>
  <c r="KB675" i="99"/>
  <c r="JT675" i="99"/>
  <c r="JL675" i="99"/>
  <c r="JD675" i="99"/>
  <c r="IV675" i="99"/>
  <c r="IN675" i="99"/>
  <c r="IF675" i="99"/>
  <c r="HX675" i="99"/>
  <c r="HP675" i="99"/>
  <c r="HH675" i="99"/>
  <c r="GZ675" i="99"/>
  <c r="GR675" i="99"/>
  <c r="GJ675" i="99"/>
  <c r="GB675" i="99"/>
  <c r="FT675" i="99"/>
  <c r="FL675" i="99"/>
  <c r="FD675" i="99"/>
  <c r="EV675" i="99"/>
  <c r="EN675" i="99"/>
  <c r="EF675" i="99"/>
  <c r="DX675" i="99"/>
  <c r="DP675" i="99"/>
  <c r="DH675" i="99"/>
  <c r="CZ675" i="99"/>
  <c r="CR675" i="99"/>
  <c r="CJ675" i="99"/>
  <c r="CB675" i="99"/>
  <c r="BT675" i="99"/>
  <c r="BL675" i="99"/>
  <c r="BD675" i="99"/>
  <c r="AV675" i="99"/>
  <c r="AN675" i="99"/>
  <c r="AF675" i="99"/>
  <c r="X675" i="99"/>
  <c r="AE675" i="99"/>
  <c r="AU675" i="99"/>
  <c r="BK675" i="99"/>
  <c r="CE675" i="99"/>
  <c r="DA675" i="99"/>
  <c r="DW675" i="99"/>
  <c r="EQ675" i="99"/>
  <c r="FM675" i="99"/>
  <c r="GI675" i="99"/>
  <c r="HC675" i="99"/>
  <c r="HY675" i="99"/>
  <c r="IU675" i="99"/>
  <c r="JO675" i="99"/>
  <c r="KK675" i="99"/>
  <c r="LG675" i="99"/>
  <c r="MA675" i="99"/>
  <c r="BU676" i="99"/>
  <c r="CQ676" i="99"/>
  <c r="DK676" i="99"/>
  <c r="FW676" i="99"/>
  <c r="AE678" i="99"/>
  <c r="BU678" i="99"/>
  <c r="DX678" i="99"/>
  <c r="AG675" i="99"/>
  <c r="AW675" i="99"/>
  <c r="BM675" i="99"/>
  <c r="CI675" i="99"/>
  <c r="DC675" i="99"/>
  <c r="DY675" i="99"/>
  <c r="EU675" i="99"/>
  <c r="FO675" i="99"/>
  <c r="GK675" i="99"/>
  <c r="HG675" i="99"/>
  <c r="IA675" i="99"/>
  <c r="IW675" i="99"/>
  <c r="JS675" i="99"/>
  <c r="KM675" i="99"/>
  <c r="LI675" i="99"/>
  <c r="ME675" i="99"/>
  <c r="MT676" i="99"/>
  <c r="ML676" i="99"/>
  <c r="MD676" i="99"/>
  <c r="LV676" i="99"/>
  <c r="LN676" i="99"/>
  <c r="LF676" i="99"/>
  <c r="KX676" i="99"/>
  <c r="KP676" i="99"/>
  <c r="KH676" i="99"/>
  <c r="JZ676" i="99"/>
  <c r="JR676" i="99"/>
  <c r="JJ676" i="99"/>
  <c r="JB676" i="99"/>
  <c r="IT676" i="99"/>
  <c r="IL676" i="99"/>
  <c r="ID676" i="99"/>
  <c r="HV676" i="99"/>
  <c r="HN676" i="99"/>
  <c r="HF676" i="99"/>
  <c r="GX676" i="99"/>
  <c r="GP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S676" i="99"/>
  <c r="MK676" i="99"/>
  <c r="MC676" i="99"/>
  <c r="LU676" i="99"/>
  <c r="LM676" i="99"/>
  <c r="LE676" i="99"/>
  <c r="KW676" i="99"/>
  <c r="KO676" i="99"/>
  <c r="KG676" i="99"/>
  <c r="JY676" i="99"/>
  <c r="JQ676" i="99"/>
  <c r="JI676" i="99"/>
  <c r="JA676" i="99"/>
  <c r="IS676" i="99"/>
  <c r="IK676" i="99"/>
  <c r="IC676" i="99"/>
  <c r="HU676" i="99"/>
  <c r="HM676" i="99"/>
  <c r="HE676" i="99"/>
  <c r="GW676" i="99"/>
  <c r="GO676" i="99"/>
  <c r="GG676" i="99"/>
  <c r="FY676" i="99"/>
  <c r="FQ676" i="99"/>
  <c r="FI676" i="99"/>
  <c r="FA676" i="99"/>
  <c r="ES676" i="99"/>
  <c r="EK676" i="99"/>
  <c r="EC676" i="99"/>
  <c r="DU676" i="99"/>
  <c r="DM676" i="99"/>
  <c r="DE676" i="99"/>
  <c r="CW676" i="99"/>
  <c r="CO676" i="99"/>
  <c r="CG676" i="99"/>
  <c r="BY676" i="99"/>
  <c r="BQ676" i="99"/>
  <c r="BI676" i="99"/>
  <c r="BA676" i="99"/>
  <c r="AS676" i="99"/>
  <c r="AK676" i="99"/>
  <c r="AC676" i="99"/>
  <c r="MR676" i="99"/>
  <c r="MJ676" i="99"/>
  <c r="MB676" i="99"/>
  <c r="LT676" i="99"/>
  <c r="LL676" i="99"/>
  <c r="LD676" i="99"/>
  <c r="KV676" i="99"/>
  <c r="KN676" i="99"/>
  <c r="KF676" i="99"/>
  <c r="JX676" i="99"/>
  <c r="JP676" i="99"/>
  <c r="JH676" i="99"/>
  <c r="IZ676" i="99"/>
  <c r="IR676" i="99"/>
  <c r="IJ676" i="99"/>
  <c r="IB676" i="99"/>
  <c r="HT676" i="99"/>
  <c r="HL676" i="99"/>
  <c r="HD676" i="99"/>
  <c r="GV676" i="99"/>
  <c r="GN676" i="99"/>
  <c r="GF676" i="99"/>
  <c r="FX676" i="99"/>
  <c r="FP676" i="99"/>
  <c r="FH676" i="99"/>
  <c r="EZ676" i="99"/>
  <c r="ER676" i="99"/>
  <c r="EJ676" i="99"/>
  <c r="EB676" i="99"/>
  <c r="DT676" i="99"/>
  <c r="DL676" i="99"/>
  <c r="DD676" i="99"/>
  <c r="CV676" i="99"/>
  <c r="CN676" i="99"/>
  <c r="CF676" i="99"/>
  <c r="BX676" i="99"/>
  <c r="BP676" i="99"/>
  <c r="BH676" i="99"/>
  <c r="AZ676" i="99"/>
  <c r="AR676" i="99"/>
  <c r="AJ676" i="99"/>
  <c r="AB676" i="99"/>
  <c r="MQ676" i="99"/>
  <c r="MI676" i="99"/>
  <c r="MA676" i="99"/>
  <c r="LS676" i="99"/>
  <c r="LK676" i="99"/>
  <c r="LC676" i="99"/>
  <c r="KU676" i="99"/>
  <c r="KM676" i="99"/>
  <c r="KE676" i="99"/>
  <c r="JW676" i="99"/>
  <c r="JO676" i="99"/>
  <c r="JG676" i="99"/>
  <c r="IY676" i="99"/>
  <c r="IQ676" i="99"/>
  <c r="II676" i="99"/>
  <c r="IA676" i="99"/>
  <c r="MP676" i="99"/>
  <c r="MH676" i="99"/>
  <c r="LZ676" i="99"/>
  <c r="LR676" i="99"/>
  <c r="LB676" i="99"/>
  <c r="KT676" i="99"/>
  <c r="KL676" i="99"/>
  <c r="KD676" i="99"/>
  <c r="JV676" i="99"/>
  <c r="JN676" i="99"/>
  <c r="JF676" i="99"/>
  <c r="IX676" i="99"/>
  <c r="IP676" i="99"/>
  <c r="IH676" i="99"/>
  <c r="HZ676" i="99"/>
  <c r="HR676" i="99"/>
  <c r="HJ676" i="99"/>
  <c r="HB676" i="99"/>
  <c r="GT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MN676" i="99"/>
  <c r="MF676" i="99"/>
  <c r="LX676" i="99"/>
  <c r="LP676" i="99"/>
  <c r="KZ676" i="99"/>
  <c r="KR676" i="99"/>
  <c r="KJ676" i="99"/>
  <c r="KB676" i="99"/>
  <c r="JT676" i="99"/>
  <c r="JL676" i="99"/>
  <c r="JD676" i="99"/>
  <c r="IV676" i="99"/>
  <c r="IN676" i="99"/>
  <c r="IF676" i="99"/>
  <c r="HX676" i="99"/>
  <c r="HP676" i="99"/>
  <c r="HH676" i="99"/>
  <c r="GZ676" i="99"/>
  <c r="GR676" i="99"/>
  <c r="GJ676" i="99"/>
  <c r="GB676" i="99"/>
  <c r="FT676" i="99"/>
  <c r="FL676" i="99"/>
  <c r="FD676" i="99"/>
  <c r="EV676" i="99"/>
  <c r="EN676" i="99"/>
  <c r="EF676" i="99"/>
  <c r="DX676" i="99"/>
  <c r="DP676" i="99"/>
  <c r="DH676" i="99"/>
  <c r="CZ676" i="99"/>
  <c r="CR676" i="99"/>
  <c r="CJ676" i="99"/>
  <c r="CB676" i="99"/>
  <c r="BT676" i="99"/>
  <c r="BL676" i="99"/>
  <c r="BD676" i="99"/>
  <c r="AV676" i="99"/>
  <c r="AN676" i="99"/>
  <c r="AF676" i="99"/>
  <c r="X676" i="99"/>
  <c r="AG676" i="99"/>
  <c r="BC676" i="99"/>
  <c r="BW676" i="99"/>
  <c r="CS676" i="99"/>
  <c r="DO676" i="99"/>
  <c r="EI676" i="99"/>
  <c r="FE676" i="99"/>
  <c r="GA676" i="99"/>
  <c r="GU676" i="99"/>
  <c r="HQ676" i="99"/>
  <c r="IU676" i="99"/>
  <c r="KA676" i="99"/>
  <c r="LG676" i="99"/>
  <c r="MM676" i="99"/>
  <c r="AM678" i="99"/>
  <c r="CC678" i="99"/>
  <c r="EH678" i="99"/>
  <c r="CK675" i="99"/>
  <c r="DG675" i="99"/>
  <c r="EA675" i="99"/>
  <c r="EW675" i="99"/>
  <c r="FS675" i="99"/>
  <c r="GM675" i="99"/>
  <c r="HI675" i="99"/>
  <c r="IE675" i="99"/>
  <c r="IY675" i="99"/>
  <c r="JU675" i="99"/>
  <c r="KQ675" i="99"/>
  <c r="LK675" i="99"/>
  <c r="MG675" i="99"/>
  <c r="CA676" i="99"/>
  <c r="CU676" i="99"/>
  <c r="FS678" i="99"/>
  <c r="AO678" i="99"/>
  <c r="CG678" i="99"/>
  <c r="L677" i="99"/>
  <c r="M677" i="99" s="1"/>
  <c r="MG678" i="99"/>
  <c r="GB678" i="99"/>
  <c r="FF678" i="99"/>
  <c r="EP678" i="99"/>
  <c r="DZ678" i="99"/>
  <c r="DK678" i="99"/>
  <c r="CX678" i="99"/>
  <c r="CJ678" i="99"/>
  <c r="BY678" i="99"/>
  <c r="BM678" i="99"/>
  <c r="BC678" i="99"/>
  <c r="AS678" i="99"/>
  <c r="AG678" i="99"/>
  <c r="X678" i="99"/>
  <c r="CF678" i="99"/>
  <c r="BT678" i="99"/>
  <c r="BJ678" i="99"/>
  <c r="AZ678" i="99"/>
  <c r="AN678" i="99"/>
  <c r="AD678" i="99"/>
  <c r="AW678" i="99"/>
  <c r="CP678" i="99"/>
  <c r="EW678" i="99"/>
  <c r="LH675" i="99"/>
  <c r="LH676" i="99"/>
  <c r="LJ677" i="99"/>
  <c r="LG677" i="99"/>
  <c r="CR678" i="99"/>
  <c r="DG678" i="99"/>
  <c r="DT678" i="99"/>
  <c r="EI678" i="99"/>
  <c r="FB678" i="99"/>
  <c r="GM678" i="99"/>
  <c r="HI678" i="99"/>
  <c r="IE678" i="99"/>
  <c r="IY678" i="99"/>
  <c r="JU678" i="99"/>
  <c r="KQ678" i="99"/>
  <c r="LV678" i="99"/>
  <c r="LH679" i="99"/>
  <c r="LK679" i="99"/>
  <c r="LG679" i="99"/>
  <c r="BR679" i="99"/>
  <c r="BF679" i="99"/>
  <c r="AV679" i="99"/>
  <c r="AL679" i="99"/>
  <c r="Z679" i="99"/>
  <c r="AE679" i="99"/>
  <c r="BJ679" i="99"/>
  <c r="CJ679" i="99"/>
  <c r="DK679" i="99"/>
  <c r="EP679" i="99"/>
  <c r="FR679" i="99"/>
  <c r="GS679" i="99"/>
  <c r="HX679" i="99"/>
  <c r="LV679" i="99"/>
  <c r="LI677" i="99"/>
  <c r="L678" i="99"/>
  <c r="M678" i="99" s="1"/>
  <c r="AF678" i="99"/>
  <c r="AR678" i="99"/>
  <c r="BB678" i="99"/>
  <c r="BL678" i="99"/>
  <c r="BX678" i="99"/>
  <c r="CH678" i="99"/>
  <c r="CV678" i="99"/>
  <c r="DJ678" i="99"/>
  <c r="DY678" i="99"/>
  <c r="EM678" i="99"/>
  <c r="FD678" i="99"/>
  <c r="FZ678" i="99"/>
  <c r="GT678" i="99"/>
  <c r="HP678" i="99"/>
  <c r="IL678" i="99"/>
  <c r="JF678" i="99"/>
  <c r="KB678" i="99"/>
  <c r="KZ678" i="99"/>
  <c r="LZ678" i="99"/>
  <c r="AN679" i="99"/>
  <c r="BN679" i="99"/>
  <c r="CQ679" i="99"/>
  <c r="DV679" i="99"/>
  <c r="EV679" i="99"/>
  <c r="HB679" i="99"/>
  <c r="MA679" i="99"/>
  <c r="JJ678" i="99"/>
  <c r="KD678" i="99"/>
  <c r="M679" i="99"/>
  <c r="CT679" i="99"/>
  <c r="DW679" i="99"/>
  <c r="FB679" i="99"/>
  <c r="HC679" i="99"/>
  <c r="LI678" i="99"/>
  <c r="LH678" i="99"/>
  <c r="LG678" i="99"/>
  <c r="Y678" i="99"/>
  <c r="AJ678" i="99"/>
  <c r="AT678" i="99"/>
  <c r="BD678" i="99"/>
  <c r="BP678" i="99"/>
  <c r="BZ678" i="99"/>
  <c r="CK678" i="99"/>
  <c r="CY678" i="99"/>
  <c r="DO678" i="99"/>
  <c r="EB678" i="99"/>
  <c r="EQ678" i="99"/>
  <c r="FG678" i="99"/>
  <c r="GC678" i="99"/>
  <c r="GY678" i="99"/>
  <c r="HS678" i="99"/>
  <c r="IO678" i="99"/>
  <c r="JK678" i="99"/>
  <c r="KE678" i="99"/>
  <c r="LF678" i="99"/>
  <c r="AT679" i="99"/>
  <c r="BU679" i="99"/>
  <c r="CZ679" i="99"/>
  <c r="DZ679" i="99"/>
  <c r="FC679" i="99"/>
  <c r="GH679" i="99"/>
  <c r="HH679" i="99"/>
  <c r="L680" i="99"/>
  <c r="M680" i="99" s="1"/>
  <c r="MS678" i="99"/>
  <c r="MK678" i="99"/>
  <c r="MC678" i="99"/>
  <c r="LU678" i="99"/>
  <c r="LM678" i="99"/>
  <c r="LE678" i="99"/>
  <c r="KW678" i="99"/>
  <c r="KO678" i="99"/>
  <c r="KG678" i="99"/>
  <c r="JY678" i="99"/>
  <c r="JQ678" i="99"/>
  <c r="JI678" i="99"/>
  <c r="JA678" i="99"/>
  <c r="IS678" i="99"/>
  <c r="IK678" i="99"/>
  <c r="IC678" i="99"/>
  <c r="HU678" i="99"/>
  <c r="HM678" i="99"/>
  <c r="HE678" i="99"/>
  <c r="GW678" i="99"/>
  <c r="GO678" i="99"/>
  <c r="GG678" i="99"/>
  <c r="FY678" i="99"/>
  <c r="FQ678" i="99"/>
  <c r="FI678" i="99"/>
  <c r="FA678" i="99"/>
  <c r="ES678" i="99"/>
  <c r="EK678" i="99"/>
  <c r="EC678" i="99"/>
  <c r="DU678" i="99"/>
  <c r="DM678" i="99"/>
  <c r="DE678" i="99"/>
  <c r="CW678" i="99"/>
  <c r="MR678" i="99"/>
  <c r="MJ678" i="99"/>
  <c r="MB678" i="99"/>
  <c r="LT678" i="99"/>
  <c r="LL678" i="99"/>
  <c r="LD678" i="99"/>
  <c r="KV678" i="99"/>
  <c r="KN678" i="99"/>
  <c r="KF678" i="99"/>
  <c r="JX678" i="99"/>
  <c r="JP678" i="99"/>
  <c r="JH678" i="99"/>
  <c r="IZ678" i="99"/>
  <c r="IR678" i="99"/>
  <c r="IJ678" i="99"/>
  <c r="IB678" i="99"/>
  <c r="HT678" i="99"/>
  <c r="HL678" i="99"/>
  <c r="HD678" i="99"/>
  <c r="GV678" i="99"/>
  <c r="GN678" i="99"/>
  <c r="GF678" i="99"/>
  <c r="FX678" i="99"/>
  <c r="FP678" i="99"/>
  <c r="FH678" i="99"/>
  <c r="EZ678" i="99"/>
  <c r="ER678" i="99"/>
  <c r="MT678" i="99"/>
  <c r="MH678" i="99"/>
  <c r="LX678" i="99"/>
  <c r="LN678" i="99"/>
  <c r="LB678" i="99"/>
  <c r="KR678" i="99"/>
  <c r="KH678" i="99"/>
  <c r="JV678" i="99"/>
  <c r="JL678" i="99"/>
  <c r="JB678" i="99"/>
  <c r="IP678" i="99"/>
  <c r="IF678" i="99"/>
  <c r="HV678" i="99"/>
  <c r="HJ678" i="99"/>
  <c r="GZ678" i="99"/>
  <c r="GP678" i="99"/>
  <c r="GD678" i="99"/>
  <c r="FT678" i="99"/>
  <c r="FJ678" i="99"/>
  <c r="EX678" i="99"/>
  <c r="EN678" i="99"/>
  <c r="EE678" i="99"/>
  <c r="DV678" i="99"/>
  <c r="DL678" i="99"/>
  <c r="DC678" i="99"/>
  <c r="CT678" i="99"/>
  <c r="CL678" i="99"/>
  <c r="CD678" i="99"/>
  <c r="BV678" i="99"/>
  <c r="BN678" i="99"/>
  <c r="BF678" i="99"/>
  <c r="AX678" i="99"/>
  <c r="AP678" i="99"/>
  <c r="AH678" i="99"/>
  <c r="Z678" i="99"/>
  <c r="MO678" i="99"/>
  <c r="ME678" i="99"/>
  <c r="LS678" i="99"/>
  <c r="KY678" i="99"/>
  <c r="KM678" i="99"/>
  <c r="KC678" i="99"/>
  <c r="JS678" i="99"/>
  <c r="JG678" i="99"/>
  <c r="IW678" i="99"/>
  <c r="IM678" i="99"/>
  <c r="IA678" i="99"/>
  <c r="HQ678" i="99"/>
  <c r="HG678" i="99"/>
  <c r="GU678" i="99"/>
  <c r="GK678" i="99"/>
  <c r="GA678" i="99"/>
  <c r="FO678" i="99"/>
  <c r="FE678" i="99"/>
  <c r="EU678" i="99"/>
  <c r="EJ678" i="99"/>
  <c r="EA678" i="99"/>
  <c r="DR678" i="99"/>
  <c r="DI678" i="99"/>
  <c r="CZ678" i="99"/>
  <c r="CQ678" i="99"/>
  <c r="CI678" i="99"/>
  <c r="MN678" i="99"/>
  <c r="MD678" i="99"/>
  <c r="LR678" i="99"/>
  <c r="KX678" i="99"/>
  <c r="MM678" i="99"/>
  <c r="MA678" i="99"/>
  <c r="LQ678" i="99"/>
  <c r="KU678" i="99"/>
  <c r="KK678" i="99"/>
  <c r="KA678" i="99"/>
  <c r="JO678" i="99"/>
  <c r="JE678" i="99"/>
  <c r="IU678" i="99"/>
  <c r="II678" i="99"/>
  <c r="HY678" i="99"/>
  <c r="HO678" i="99"/>
  <c r="HC678" i="99"/>
  <c r="GS678" i="99"/>
  <c r="GI678" i="99"/>
  <c r="FW678" i="99"/>
  <c r="FM678" i="99"/>
  <c r="MI678" i="99"/>
  <c r="LY678" i="99"/>
  <c r="LO678" i="99"/>
  <c r="LC678" i="99"/>
  <c r="KS678" i="99"/>
  <c r="KI678" i="99"/>
  <c r="JW678" i="99"/>
  <c r="JM678" i="99"/>
  <c r="JC678" i="99"/>
  <c r="IQ678" i="99"/>
  <c r="IG678" i="99"/>
  <c r="HW678" i="99"/>
  <c r="HK678" i="99"/>
  <c r="HA678" i="99"/>
  <c r="GQ678" i="99"/>
  <c r="GE678" i="99"/>
  <c r="FU678" i="99"/>
  <c r="FK678" i="99"/>
  <c r="EY678" i="99"/>
  <c r="EO678" i="99"/>
  <c r="EF678" i="99"/>
  <c r="DW678" i="99"/>
  <c r="DN678" i="99"/>
  <c r="DD678" i="99"/>
  <c r="CU678" i="99"/>
  <c r="CM678" i="99"/>
  <c r="CE678" i="99"/>
  <c r="BW678" i="99"/>
  <c r="BO678" i="99"/>
  <c r="BG678" i="99"/>
  <c r="AY678" i="99"/>
  <c r="AQ678" i="99"/>
  <c r="AI678" i="99"/>
  <c r="AA678" i="99"/>
  <c r="AK678" i="99"/>
  <c r="AU678" i="99"/>
  <c r="BE678" i="99"/>
  <c r="BQ678" i="99"/>
  <c r="CA678" i="99"/>
  <c r="CN678" i="99"/>
  <c r="DA678" i="99"/>
  <c r="DP678" i="99"/>
  <c r="ED678" i="99"/>
  <c r="ET678" i="99"/>
  <c r="FL678" i="99"/>
  <c r="GH678" i="99"/>
  <c r="HB678" i="99"/>
  <c r="HX678" i="99"/>
  <c r="IT678" i="99"/>
  <c r="JN678" i="99"/>
  <c r="KJ678" i="99"/>
  <c r="LJ678" i="99"/>
  <c r="ML678" i="99"/>
  <c r="AX679" i="99"/>
  <c r="BZ679" i="99"/>
  <c r="DA679" i="99"/>
  <c r="FF679" i="99"/>
  <c r="GI679" i="99"/>
  <c r="HN679" i="99"/>
  <c r="LI679" i="99"/>
  <c r="AB678" i="99"/>
  <c r="AL678" i="99"/>
  <c r="AV678" i="99"/>
  <c r="BH678" i="99"/>
  <c r="BR678" i="99"/>
  <c r="CB678" i="99"/>
  <c r="CO678" i="99"/>
  <c r="DB678" i="99"/>
  <c r="DQ678" i="99"/>
  <c r="EG678" i="99"/>
  <c r="EV678" i="99"/>
  <c r="FN678" i="99"/>
  <c r="GJ678" i="99"/>
  <c r="HF678" i="99"/>
  <c r="HZ678" i="99"/>
  <c r="IV678" i="99"/>
  <c r="JR678" i="99"/>
  <c r="KL678" i="99"/>
  <c r="LK678" i="99"/>
  <c r="MP678" i="99"/>
  <c r="X679" i="99"/>
  <c r="AY679" i="99"/>
  <c r="CD679" i="99"/>
  <c r="DF679" i="99"/>
  <c r="FL679" i="99"/>
  <c r="GL679" i="99"/>
  <c r="HO679" i="99"/>
  <c r="LJ679" i="99"/>
  <c r="A679" i="99"/>
  <c r="AG679" i="99"/>
  <c r="AQ679" i="99"/>
  <c r="BC679" i="99"/>
  <c r="BM679" i="99"/>
  <c r="BW679" i="99"/>
  <c r="CI679" i="99"/>
  <c r="CS679" i="99"/>
  <c r="DC679" i="99"/>
  <c r="DO679" i="99"/>
  <c r="DY679" i="99"/>
  <c r="EI679" i="99"/>
  <c r="EU679" i="99"/>
  <c r="FE679" i="99"/>
  <c r="FO679" i="99"/>
  <c r="GA679" i="99"/>
  <c r="GK679" i="99"/>
  <c r="GU679" i="99"/>
  <c r="HG679" i="99"/>
  <c r="HQ679" i="99"/>
  <c r="IA679" i="99"/>
  <c r="IO679" i="99"/>
  <c r="JB679" i="99"/>
  <c r="JN679" i="99"/>
  <c r="KA679" i="99"/>
  <c r="KM679" i="99"/>
  <c r="LA679" i="99"/>
  <c r="LN679" i="99"/>
  <c r="LZ679" i="99"/>
  <c r="AI680" i="99"/>
  <c r="AY680" i="99"/>
  <c r="BO680" i="99"/>
  <c r="CH680" i="99"/>
  <c r="CZ680" i="99"/>
  <c r="DR680" i="99"/>
  <c r="EJ680" i="99"/>
  <c r="FC680" i="99"/>
  <c r="FU680" i="99"/>
  <c r="GM680" i="99"/>
  <c r="HF680" i="99"/>
  <c r="HX680" i="99"/>
  <c r="IW680" i="99"/>
  <c r="JU680" i="99"/>
  <c r="KR680" i="99"/>
  <c r="LR680" i="99"/>
  <c r="MP680" i="99"/>
  <c r="KV681" i="99"/>
  <c r="KL681" i="99"/>
  <c r="KA681" i="99"/>
  <c r="JP681" i="99"/>
  <c r="JF681" i="99"/>
  <c r="IU681" i="99"/>
  <c r="IJ681" i="99"/>
  <c r="LF681" i="99"/>
  <c r="KU681" i="99"/>
  <c r="KJ681" i="99"/>
  <c r="JZ681" i="99"/>
  <c r="JO681" i="99"/>
  <c r="JD681" i="99"/>
  <c r="IT681" i="99"/>
  <c r="II681" i="99"/>
  <c r="LD681" i="99"/>
  <c r="KT681" i="99"/>
  <c r="KI681" i="99"/>
  <c r="JX681" i="99"/>
  <c r="JN681" i="99"/>
  <c r="JC681" i="99"/>
  <c r="IR681" i="99"/>
  <c r="IH681" i="99"/>
  <c r="LC681" i="99"/>
  <c r="KR681" i="99"/>
  <c r="KH681" i="99"/>
  <c r="JW681" i="99"/>
  <c r="JL681" i="99"/>
  <c r="JB681" i="99"/>
  <c r="IQ681" i="99"/>
  <c r="IF681" i="99"/>
  <c r="LB681" i="99"/>
  <c r="KQ681" i="99"/>
  <c r="KF681" i="99"/>
  <c r="JV681" i="99"/>
  <c r="JK681" i="99"/>
  <c r="IZ681" i="99"/>
  <c r="IP681" i="99"/>
  <c r="IE681" i="99"/>
  <c r="KZ681" i="99"/>
  <c r="KP681" i="99"/>
  <c r="KE681" i="99"/>
  <c r="JT681" i="99"/>
  <c r="JJ681" i="99"/>
  <c r="IY681" i="99"/>
  <c r="IN681" i="99"/>
  <c r="KX681" i="99"/>
  <c r="KM681" i="99"/>
  <c r="KB681" i="99"/>
  <c r="JR681" i="99"/>
  <c r="JG681" i="99"/>
  <c r="IV681" i="99"/>
  <c r="IL681" i="99"/>
  <c r="GV681" i="99"/>
  <c r="IX681" i="99"/>
  <c r="MI681" i="99"/>
  <c r="AJ682" i="99"/>
  <c r="L681" i="99"/>
  <c r="M681" i="99" s="1"/>
  <c r="JH681" i="99"/>
  <c r="LJ682" i="99"/>
  <c r="FV682" i="99"/>
  <c r="FN682" i="99"/>
  <c r="LI682" i="99"/>
  <c r="LG682" i="99"/>
  <c r="FS682" i="99"/>
  <c r="FK682" i="99"/>
  <c r="FC682" i="99"/>
  <c r="EU682" i="99"/>
  <c r="EM682" i="99"/>
  <c r="DW682" i="99"/>
  <c r="DO682" i="99"/>
  <c r="DG682" i="99"/>
  <c r="CY682" i="99"/>
  <c r="CQ682" i="99"/>
  <c r="CI682" i="99"/>
  <c r="CA682" i="99"/>
  <c r="BS682" i="99"/>
  <c r="BK682" i="99"/>
  <c r="BC682" i="99"/>
  <c r="AU682" i="99"/>
  <c r="AM682" i="99"/>
  <c r="AE682" i="99"/>
  <c r="FT682" i="99"/>
  <c r="FF682" i="99"/>
  <c r="ER682" i="99"/>
  <c r="DS682" i="99"/>
  <c r="DF682" i="99"/>
  <c r="CT682" i="99"/>
  <c r="CF682" i="99"/>
  <c r="BT682" i="99"/>
  <c r="BG682" i="99"/>
  <c r="AT682" i="99"/>
  <c r="AH682" i="99"/>
  <c r="FR682" i="99"/>
  <c r="FD682" i="99"/>
  <c r="EQ682" i="99"/>
  <c r="DR682" i="99"/>
  <c r="DD682" i="99"/>
  <c r="CR682" i="99"/>
  <c r="CE682" i="99"/>
  <c r="BR682" i="99"/>
  <c r="BF682" i="99"/>
  <c r="AR682" i="99"/>
  <c r="AF682" i="99"/>
  <c r="HL682" i="99"/>
  <c r="GV682" i="99"/>
  <c r="FP682" i="99"/>
  <c r="FB682" i="99"/>
  <c r="EP682" i="99"/>
  <c r="EB682" i="99"/>
  <c r="DP682" i="99"/>
  <c r="DC682" i="99"/>
  <c r="CP682" i="99"/>
  <c r="CD682" i="99"/>
  <c r="BP682" i="99"/>
  <c r="BD682" i="99"/>
  <c r="AQ682" i="99"/>
  <c r="AD682" i="99"/>
  <c r="LP682" i="99"/>
  <c r="FO682" i="99"/>
  <c r="EZ682" i="99"/>
  <c r="EN682" i="99"/>
  <c r="EA682" i="99"/>
  <c r="DN682" i="99"/>
  <c r="DB682" i="99"/>
  <c r="CN682" i="99"/>
  <c r="CB682" i="99"/>
  <c r="BO682" i="99"/>
  <c r="BB682" i="99"/>
  <c r="AP682" i="99"/>
  <c r="AB682" i="99"/>
  <c r="LN682" i="99"/>
  <c r="FL682" i="99"/>
  <c r="EY682" i="99"/>
  <c r="EL682" i="99"/>
  <c r="DZ682" i="99"/>
  <c r="DL682" i="99"/>
  <c r="CZ682" i="99"/>
  <c r="CM682" i="99"/>
  <c r="BZ682" i="99"/>
  <c r="BN682" i="99"/>
  <c r="AZ682" i="99"/>
  <c r="AN682" i="99"/>
  <c r="AA682" i="99"/>
  <c r="LL682" i="99"/>
  <c r="HV682" i="99"/>
  <c r="HF682" i="99"/>
  <c r="GP682" i="99"/>
  <c r="FJ682" i="99"/>
  <c r="EX682" i="99"/>
  <c r="EJ682" i="99"/>
  <c r="DX682" i="99"/>
  <c r="DK682" i="99"/>
  <c r="CX682" i="99"/>
  <c r="CL682" i="99"/>
  <c r="BX682" i="99"/>
  <c r="BL682" i="99"/>
  <c r="AY682" i="99"/>
  <c r="AL682" i="99"/>
  <c r="Z682" i="99"/>
  <c r="LX682" i="99"/>
  <c r="LH682" i="99"/>
  <c r="HS682" i="99"/>
  <c r="HC682" i="99"/>
  <c r="GM682" i="99"/>
  <c r="FG682" i="99"/>
  <c r="ET682" i="99"/>
  <c r="DT682" i="99"/>
  <c r="DH682" i="99"/>
  <c r="CU682" i="99"/>
  <c r="CH682" i="99"/>
  <c r="BV682" i="99"/>
  <c r="BH682" i="99"/>
  <c r="AV682" i="99"/>
  <c r="AI682" i="99"/>
  <c r="AX682" i="99"/>
  <c r="EI682" i="99"/>
  <c r="MN679" i="99"/>
  <c r="MF679" i="99"/>
  <c r="LX679" i="99"/>
  <c r="LP679" i="99"/>
  <c r="KZ679" i="99"/>
  <c r="KR679" i="99"/>
  <c r="KJ679" i="99"/>
  <c r="KB679" i="99"/>
  <c r="JT679" i="99"/>
  <c r="JL679" i="99"/>
  <c r="JD679" i="99"/>
  <c r="IV679" i="99"/>
  <c r="IN679" i="99"/>
  <c r="IF679" i="99"/>
  <c r="MM679" i="99"/>
  <c r="ME679" i="99"/>
  <c r="MS679" i="99"/>
  <c r="MK679" i="99"/>
  <c r="MC679" i="99"/>
  <c r="LU679" i="99"/>
  <c r="LM679" i="99"/>
  <c r="LE679" i="99"/>
  <c r="KW679" i="99"/>
  <c r="KO679" i="99"/>
  <c r="KG679" i="99"/>
  <c r="JY679" i="99"/>
  <c r="JQ679" i="99"/>
  <c r="JI679" i="99"/>
  <c r="JA679" i="99"/>
  <c r="IS679" i="99"/>
  <c r="IK679" i="99"/>
  <c r="IC679" i="99"/>
  <c r="HU679" i="99"/>
  <c r="HM679" i="99"/>
  <c r="HE679" i="99"/>
  <c r="GW679" i="99"/>
  <c r="GO679" i="99"/>
  <c r="GG679" i="99"/>
  <c r="FY679" i="99"/>
  <c r="FQ679" i="99"/>
  <c r="FI679" i="99"/>
  <c r="FA679" i="99"/>
  <c r="ES679" i="99"/>
  <c r="EK679" i="99"/>
  <c r="EC679" i="99"/>
  <c r="DU679" i="99"/>
  <c r="DM679" i="99"/>
  <c r="DE679" i="99"/>
  <c r="CW679" i="99"/>
  <c r="CO679" i="99"/>
  <c r="CG679" i="99"/>
  <c r="BY679" i="99"/>
  <c r="BQ679" i="99"/>
  <c r="BI679" i="99"/>
  <c r="BA679" i="99"/>
  <c r="AS679" i="99"/>
  <c r="AK679" i="99"/>
  <c r="AC679" i="99"/>
  <c r="MR679" i="99"/>
  <c r="MJ679" i="99"/>
  <c r="MB679" i="99"/>
  <c r="LT679" i="99"/>
  <c r="LL679" i="99"/>
  <c r="LD679" i="99"/>
  <c r="KV679" i="99"/>
  <c r="KN679" i="99"/>
  <c r="KF679" i="99"/>
  <c r="JX679" i="99"/>
  <c r="JP679" i="99"/>
  <c r="JH679" i="99"/>
  <c r="IZ679" i="99"/>
  <c r="IR679" i="99"/>
  <c r="IJ679" i="99"/>
  <c r="IB679" i="99"/>
  <c r="HT679" i="99"/>
  <c r="HL679" i="99"/>
  <c r="HD679" i="99"/>
  <c r="GV679" i="99"/>
  <c r="GN679" i="99"/>
  <c r="GF679" i="99"/>
  <c r="FX679" i="99"/>
  <c r="FP679" i="99"/>
  <c r="FH679" i="99"/>
  <c r="EZ679" i="99"/>
  <c r="ER679" i="99"/>
  <c r="EJ679" i="99"/>
  <c r="EB679" i="99"/>
  <c r="DT679" i="99"/>
  <c r="DL679" i="99"/>
  <c r="DD679" i="99"/>
  <c r="CV679" i="99"/>
  <c r="CN679" i="99"/>
  <c r="CF679" i="99"/>
  <c r="BX679" i="99"/>
  <c r="BP679" i="99"/>
  <c r="BH679" i="99"/>
  <c r="AZ679" i="99"/>
  <c r="AR679" i="99"/>
  <c r="AJ679" i="99"/>
  <c r="AB679" i="99"/>
  <c r="Y679" i="99"/>
  <c r="AI679" i="99"/>
  <c r="AU679" i="99"/>
  <c r="BE679" i="99"/>
  <c r="BO679" i="99"/>
  <c r="CA679" i="99"/>
  <c r="CK679" i="99"/>
  <c r="CU679" i="99"/>
  <c r="DG679" i="99"/>
  <c r="DQ679" i="99"/>
  <c r="EA679" i="99"/>
  <c r="EM679" i="99"/>
  <c r="EW679" i="99"/>
  <c r="FG679" i="99"/>
  <c r="FS679" i="99"/>
  <c r="GC679" i="99"/>
  <c r="GM679" i="99"/>
  <c r="GY679" i="99"/>
  <c r="HI679" i="99"/>
  <c r="HS679" i="99"/>
  <c r="IE679" i="99"/>
  <c r="IQ679" i="99"/>
  <c r="JE679" i="99"/>
  <c r="JR679" i="99"/>
  <c r="KD679" i="99"/>
  <c r="KQ679" i="99"/>
  <c r="LC679" i="99"/>
  <c r="LQ679" i="99"/>
  <c r="MD679" i="99"/>
  <c r="MT679" i="99"/>
  <c r="AO680" i="99"/>
  <c r="BE680" i="99"/>
  <c r="BV680" i="99"/>
  <c r="CN680" i="99"/>
  <c r="DG680" i="99"/>
  <c r="DY680" i="99"/>
  <c r="EQ680" i="99"/>
  <c r="FJ680" i="99"/>
  <c r="GB680" i="99"/>
  <c r="GT680" i="99"/>
  <c r="HL680" i="99"/>
  <c r="IE680" i="99"/>
  <c r="JC680" i="99"/>
  <c r="JZ680" i="99"/>
  <c r="KZ680" i="99"/>
  <c r="LX680" i="99"/>
  <c r="A681" i="99"/>
  <c r="JS681" i="99"/>
  <c r="BJ682" i="99"/>
  <c r="EV682" i="99"/>
  <c r="CB679" i="99"/>
  <c r="CL679" i="99"/>
  <c r="CX679" i="99"/>
  <c r="DH679" i="99"/>
  <c r="DR679" i="99"/>
  <c r="ED679" i="99"/>
  <c r="EN679" i="99"/>
  <c r="EX679" i="99"/>
  <c r="FJ679" i="99"/>
  <c r="FT679" i="99"/>
  <c r="GD679" i="99"/>
  <c r="GP679" i="99"/>
  <c r="GZ679" i="99"/>
  <c r="HJ679" i="99"/>
  <c r="HV679" i="99"/>
  <c r="IG679" i="99"/>
  <c r="IT679" i="99"/>
  <c r="JF679" i="99"/>
  <c r="JS679" i="99"/>
  <c r="KE679" i="99"/>
  <c r="KS679" i="99"/>
  <c r="LF679" i="99"/>
  <c r="LR679" i="99"/>
  <c r="MG679" i="99"/>
  <c r="Z680" i="99"/>
  <c r="AP680" i="99"/>
  <c r="BF680" i="99"/>
  <c r="BW680" i="99"/>
  <c r="CP680" i="99"/>
  <c r="DH680" i="99"/>
  <c r="DZ680" i="99"/>
  <c r="ER680" i="99"/>
  <c r="FK680" i="99"/>
  <c r="GC680" i="99"/>
  <c r="GU680" i="99"/>
  <c r="HN680" i="99"/>
  <c r="IF680" i="99"/>
  <c r="JF680" i="99"/>
  <c r="KD680" i="99"/>
  <c r="LA680" i="99"/>
  <c r="KD681" i="99"/>
  <c r="BW682" i="99"/>
  <c r="FH682" i="99"/>
  <c r="AA679" i="99"/>
  <c r="AM679" i="99"/>
  <c r="AW679" i="99"/>
  <c r="BG679" i="99"/>
  <c r="BS679" i="99"/>
  <c r="CC679" i="99"/>
  <c r="CM679" i="99"/>
  <c r="CY679" i="99"/>
  <c r="DI679" i="99"/>
  <c r="DS679" i="99"/>
  <c r="EE679" i="99"/>
  <c r="EO679" i="99"/>
  <c r="EY679" i="99"/>
  <c r="FK679" i="99"/>
  <c r="FU679" i="99"/>
  <c r="GE679" i="99"/>
  <c r="GQ679" i="99"/>
  <c r="HA679" i="99"/>
  <c r="HK679" i="99"/>
  <c r="HW679" i="99"/>
  <c r="IH679" i="99"/>
  <c r="IU679" i="99"/>
  <c r="JG679" i="99"/>
  <c r="JU679" i="99"/>
  <c r="KH679" i="99"/>
  <c r="KT679" i="99"/>
  <c r="LS679" i="99"/>
  <c r="MH679" i="99"/>
  <c r="MS680" i="99"/>
  <c r="MK680" i="99"/>
  <c r="MC680" i="99"/>
  <c r="LU680" i="99"/>
  <c r="LM680" i="99"/>
  <c r="LE680" i="99"/>
  <c r="KW680" i="99"/>
  <c r="KO680" i="99"/>
  <c r="KG680" i="99"/>
  <c r="JY680" i="99"/>
  <c r="JQ680" i="99"/>
  <c r="JI680" i="99"/>
  <c r="JA680" i="99"/>
  <c r="IS680" i="99"/>
  <c r="IK680" i="99"/>
  <c r="IC680" i="99"/>
  <c r="HU680" i="99"/>
  <c r="HM680" i="99"/>
  <c r="HE680" i="99"/>
  <c r="GW680" i="99"/>
  <c r="GO680" i="99"/>
  <c r="GG680" i="99"/>
  <c r="FY680" i="99"/>
  <c r="FQ680" i="99"/>
  <c r="FI680" i="99"/>
  <c r="FA680" i="99"/>
  <c r="ES680" i="99"/>
  <c r="EK680" i="99"/>
  <c r="EC680" i="99"/>
  <c r="DU680" i="99"/>
  <c r="DM680" i="99"/>
  <c r="DE680" i="99"/>
  <c r="CW680" i="99"/>
  <c r="CO680" i="99"/>
  <c r="CG680" i="99"/>
  <c r="BY680" i="99"/>
  <c r="BQ680" i="99"/>
  <c r="MR680" i="99"/>
  <c r="MI680" i="99"/>
  <c r="LZ680" i="99"/>
  <c r="LQ680" i="99"/>
  <c r="KY680" i="99"/>
  <c r="KP680" i="99"/>
  <c r="KF680" i="99"/>
  <c r="JW680" i="99"/>
  <c r="JN680" i="99"/>
  <c r="JE680" i="99"/>
  <c r="IV680" i="99"/>
  <c r="IM680" i="99"/>
  <c r="ID680" i="99"/>
  <c r="HT680" i="99"/>
  <c r="HK680" i="99"/>
  <c r="HB680" i="99"/>
  <c r="GS680" i="99"/>
  <c r="GJ680" i="99"/>
  <c r="GA680" i="99"/>
  <c r="FR680" i="99"/>
  <c r="FH680" i="99"/>
  <c r="EY680" i="99"/>
  <c r="EP680" i="99"/>
  <c r="EG680" i="99"/>
  <c r="DX680" i="99"/>
  <c r="DO680" i="99"/>
  <c r="DF680" i="99"/>
  <c r="CV680" i="99"/>
  <c r="CM680" i="99"/>
  <c r="CD680" i="99"/>
  <c r="BU680" i="99"/>
  <c r="BL680" i="99"/>
  <c r="BD680" i="99"/>
  <c r="AV680" i="99"/>
  <c r="AN680" i="99"/>
  <c r="AF680" i="99"/>
  <c r="X680" i="99"/>
  <c r="MQ680" i="99"/>
  <c r="MH680" i="99"/>
  <c r="LY680" i="99"/>
  <c r="LP680" i="99"/>
  <c r="KX680" i="99"/>
  <c r="KN680" i="99"/>
  <c r="KE680" i="99"/>
  <c r="JV680" i="99"/>
  <c r="JM680" i="99"/>
  <c r="JD680" i="99"/>
  <c r="IU680" i="99"/>
  <c r="IL680" i="99"/>
  <c r="IB680" i="99"/>
  <c r="HS680" i="99"/>
  <c r="HJ680" i="99"/>
  <c r="HA680" i="99"/>
  <c r="GR680" i="99"/>
  <c r="GI680" i="99"/>
  <c r="FZ680" i="99"/>
  <c r="FP680" i="99"/>
  <c r="FG680" i="99"/>
  <c r="EX680" i="99"/>
  <c r="EO680" i="99"/>
  <c r="EF680" i="99"/>
  <c r="DW680" i="99"/>
  <c r="DN680" i="99"/>
  <c r="DD680" i="99"/>
  <c r="CU680" i="99"/>
  <c r="CL680" i="99"/>
  <c r="CC680" i="99"/>
  <c r="BT680" i="99"/>
  <c r="BK680" i="99"/>
  <c r="BC680" i="99"/>
  <c r="AU680" i="99"/>
  <c r="AM680" i="99"/>
  <c r="AE680" i="99"/>
  <c r="MO680" i="99"/>
  <c r="MF680" i="99"/>
  <c r="LW680" i="99"/>
  <c r="LN680" i="99"/>
  <c r="LD680" i="99"/>
  <c r="KU680" i="99"/>
  <c r="KL680" i="99"/>
  <c r="KC680" i="99"/>
  <c r="JT680" i="99"/>
  <c r="JK680" i="99"/>
  <c r="JB680" i="99"/>
  <c r="IR680" i="99"/>
  <c r="II680" i="99"/>
  <c r="HZ680" i="99"/>
  <c r="HQ680" i="99"/>
  <c r="HH680" i="99"/>
  <c r="GY680" i="99"/>
  <c r="GP680" i="99"/>
  <c r="GF680" i="99"/>
  <c r="FW680" i="99"/>
  <c r="FN680" i="99"/>
  <c r="FE680" i="99"/>
  <c r="EV680" i="99"/>
  <c r="EM680" i="99"/>
  <c r="ED680" i="99"/>
  <c r="DT680" i="99"/>
  <c r="DK680" i="99"/>
  <c r="DB680" i="99"/>
  <c r="CS680" i="99"/>
  <c r="CJ680" i="99"/>
  <c r="CA680" i="99"/>
  <c r="BR680" i="99"/>
  <c r="BI680" i="99"/>
  <c r="BA680" i="99"/>
  <c r="AS680" i="99"/>
  <c r="AK680" i="99"/>
  <c r="AC680" i="99"/>
  <c r="MN680" i="99"/>
  <c r="ME680" i="99"/>
  <c r="LV680" i="99"/>
  <c r="LL680" i="99"/>
  <c r="LC680" i="99"/>
  <c r="KT680" i="99"/>
  <c r="KK680" i="99"/>
  <c r="KB680" i="99"/>
  <c r="JS680" i="99"/>
  <c r="JJ680" i="99"/>
  <c r="IZ680" i="99"/>
  <c r="IQ680" i="99"/>
  <c r="IH680" i="99"/>
  <c r="HY680" i="99"/>
  <c r="HP680" i="99"/>
  <c r="HG680" i="99"/>
  <c r="GX680" i="99"/>
  <c r="GN680" i="99"/>
  <c r="GE680" i="99"/>
  <c r="FV680" i="99"/>
  <c r="FM680" i="99"/>
  <c r="FD680" i="99"/>
  <c r="EU680" i="99"/>
  <c r="EL680" i="99"/>
  <c r="EB680" i="99"/>
  <c r="DS680" i="99"/>
  <c r="DJ680" i="99"/>
  <c r="DA680" i="99"/>
  <c r="CR680" i="99"/>
  <c r="CI680" i="99"/>
  <c r="BZ680" i="99"/>
  <c r="BP680" i="99"/>
  <c r="BH680" i="99"/>
  <c r="AZ680" i="99"/>
  <c r="AR680" i="99"/>
  <c r="AJ680" i="99"/>
  <c r="AB680" i="99"/>
  <c r="MM680" i="99"/>
  <c r="MD680" i="99"/>
  <c r="LT680" i="99"/>
  <c r="LK680" i="99"/>
  <c r="LB680" i="99"/>
  <c r="KS680" i="99"/>
  <c r="KJ680" i="99"/>
  <c r="KA680" i="99"/>
  <c r="JR680" i="99"/>
  <c r="JH680" i="99"/>
  <c r="IY680" i="99"/>
  <c r="IP680" i="99"/>
  <c r="IG680" i="99"/>
  <c r="AA680" i="99"/>
  <c r="AQ680" i="99"/>
  <c r="BG680" i="99"/>
  <c r="BX680" i="99"/>
  <c r="CQ680" i="99"/>
  <c r="DI680" i="99"/>
  <c r="EA680" i="99"/>
  <c r="ET680" i="99"/>
  <c r="FL680" i="99"/>
  <c r="GD680" i="99"/>
  <c r="GV680" i="99"/>
  <c r="HO680" i="99"/>
  <c r="IJ680" i="99"/>
  <c r="JG680" i="99"/>
  <c r="KH680" i="99"/>
  <c r="LF680" i="99"/>
  <c r="MB680" i="99"/>
  <c r="KN681" i="99"/>
  <c r="CJ682" i="99"/>
  <c r="EW680" i="99"/>
  <c r="FO680" i="99"/>
  <c r="GH680" i="99"/>
  <c r="GZ680" i="99"/>
  <c r="HR680" i="99"/>
  <c r="IN680" i="99"/>
  <c r="JL680" i="99"/>
  <c r="KI680" i="99"/>
  <c r="LI680" i="99"/>
  <c r="MG680" i="99"/>
  <c r="KY681" i="99"/>
  <c r="LT682" i="99"/>
  <c r="CV682" i="99"/>
  <c r="LK682" i="99"/>
  <c r="LQ683" i="99"/>
  <c r="HP683" i="99"/>
  <c r="GX683" i="99"/>
  <c r="GO683" i="99"/>
  <c r="HM683" i="99"/>
  <c r="GW683" i="99"/>
  <c r="GN683" i="99"/>
  <c r="HI683" i="99"/>
  <c r="GV683" i="99"/>
  <c r="GM683" i="99"/>
  <c r="MC683" i="99"/>
  <c r="HY683" i="99"/>
  <c r="HF683" i="99"/>
  <c r="GT683" i="99"/>
  <c r="GK683" i="99"/>
  <c r="HU683" i="99"/>
  <c r="HA683" i="99"/>
  <c r="GR683" i="99"/>
  <c r="GH683" i="99"/>
  <c r="MJ680" i="99"/>
  <c r="MR681" i="99"/>
  <c r="MF681" i="99"/>
  <c r="MQ681" i="99"/>
  <c r="MP681" i="99"/>
  <c r="MN681" i="99"/>
  <c r="ML681" i="99"/>
  <c r="MJ681" i="99"/>
  <c r="MT681" i="99"/>
  <c r="MH681" i="99"/>
  <c r="DJ682" i="99"/>
  <c r="GN682" i="99"/>
  <c r="MA682" i="99"/>
  <c r="AF679" i="99"/>
  <c r="AP679" i="99"/>
  <c r="BB679" i="99"/>
  <c r="BL679" i="99"/>
  <c r="BV679" i="99"/>
  <c r="CH679" i="99"/>
  <c r="CR679" i="99"/>
  <c r="DB679" i="99"/>
  <c r="DN679" i="99"/>
  <c r="DX679" i="99"/>
  <c r="EH679" i="99"/>
  <c r="ET679" i="99"/>
  <c r="FD679" i="99"/>
  <c r="FN679" i="99"/>
  <c r="FZ679" i="99"/>
  <c r="GJ679" i="99"/>
  <c r="GT679" i="99"/>
  <c r="HF679" i="99"/>
  <c r="HP679" i="99"/>
  <c r="HZ679" i="99"/>
  <c r="IM679" i="99"/>
  <c r="IY679" i="99"/>
  <c r="JM679" i="99"/>
  <c r="JZ679" i="99"/>
  <c r="KL679" i="99"/>
  <c r="KY679" i="99"/>
  <c r="LY679" i="99"/>
  <c r="MO679" i="99"/>
  <c r="AH680" i="99"/>
  <c r="AX680" i="99"/>
  <c r="BN680" i="99"/>
  <c r="CF680" i="99"/>
  <c r="CY680" i="99"/>
  <c r="DQ680" i="99"/>
  <c r="EI680" i="99"/>
  <c r="FB680" i="99"/>
  <c r="FT680" i="99"/>
  <c r="GL680" i="99"/>
  <c r="HD680" i="99"/>
  <c r="HW680" i="99"/>
  <c r="IT680" i="99"/>
  <c r="JP680" i="99"/>
  <c r="KQ680" i="99"/>
  <c r="LO680" i="99"/>
  <c r="ML680" i="99"/>
  <c r="LS681" i="99"/>
  <c r="HO681" i="99"/>
  <c r="HD681" i="99"/>
  <c r="GT681" i="99"/>
  <c r="GI681" i="99"/>
  <c r="MD681" i="99"/>
  <c r="LR681" i="99"/>
  <c r="HX681" i="99"/>
  <c r="HN681" i="99"/>
  <c r="HC681" i="99"/>
  <c r="GR681" i="99"/>
  <c r="GH681" i="99"/>
  <c r="MB681" i="99"/>
  <c r="HW681" i="99"/>
  <c r="HL681" i="99"/>
  <c r="HB681" i="99"/>
  <c r="GQ681" i="99"/>
  <c r="MA681" i="99"/>
  <c r="HV681" i="99"/>
  <c r="HK681" i="99"/>
  <c r="GZ681" i="99"/>
  <c r="GP681" i="99"/>
  <c r="LZ681" i="99"/>
  <c r="HT681" i="99"/>
  <c r="HJ681" i="99"/>
  <c r="GY681" i="99"/>
  <c r="GN681" i="99"/>
  <c r="LX681" i="99"/>
  <c r="HS681" i="99"/>
  <c r="HH681" i="99"/>
  <c r="GX681" i="99"/>
  <c r="GM681" i="99"/>
  <c r="LT681" i="99"/>
  <c r="HP681" i="99"/>
  <c r="HF681" i="99"/>
  <c r="GU681" i="99"/>
  <c r="GJ681" i="99"/>
  <c r="GL681" i="99"/>
  <c r="IM681" i="99"/>
  <c r="LV681" i="99"/>
  <c r="L682" i="99"/>
  <c r="X682" i="99"/>
  <c r="DV682" i="99"/>
  <c r="HD682" i="99"/>
  <c r="LH681" i="99"/>
  <c r="X681" i="99"/>
  <c r="AI681" i="99"/>
  <c r="AT681" i="99"/>
  <c r="BD681" i="99"/>
  <c r="BO681" i="99"/>
  <c r="BZ681" i="99"/>
  <c r="CJ681" i="99"/>
  <c r="CU681" i="99"/>
  <c r="DF681" i="99"/>
  <c r="DP681" i="99"/>
  <c r="EA681" i="99"/>
  <c r="EL681" i="99"/>
  <c r="EV681" i="99"/>
  <c r="FG681" i="99"/>
  <c r="FR681" i="99"/>
  <c r="LK681" i="99"/>
  <c r="FZ682" i="99"/>
  <c r="MB682" i="99"/>
  <c r="L683" i="99"/>
  <c r="M683" i="99" s="1"/>
  <c r="MS681" i="99"/>
  <c r="Z681" i="99"/>
  <c r="AJ681" i="99"/>
  <c r="AU681" i="99"/>
  <c r="BF681" i="99"/>
  <c r="BP681" i="99"/>
  <c r="CA681" i="99"/>
  <c r="CL681" i="99"/>
  <c r="CV681" i="99"/>
  <c r="DG681" i="99"/>
  <c r="DR681" i="99"/>
  <c r="EB681" i="99"/>
  <c r="EM681" i="99"/>
  <c r="EX681" i="99"/>
  <c r="FH681" i="99"/>
  <c r="FS681" i="99"/>
  <c r="GD681" i="99"/>
  <c r="LL681" i="99"/>
  <c r="GB682" i="99"/>
  <c r="GR682" i="99"/>
  <c r="HH682" i="99"/>
  <c r="HX682" i="99"/>
  <c r="MD682" i="99"/>
  <c r="X683" i="99"/>
  <c r="AQ683" i="99"/>
  <c r="BL683" i="99"/>
  <c r="CH683" i="99"/>
  <c r="DC683" i="99"/>
  <c r="AA681" i="99"/>
  <c r="AL681" i="99"/>
  <c r="AV681" i="99"/>
  <c r="BG681" i="99"/>
  <c r="BR681" i="99"/>
  <c r="CB681" i="99"/>
  <c r="CM681" i="99"/>
  <c r="CX681" i="99"/>
  <c r="DH681" i="99"/>
  <c r="DS681" i="99"/>
  <c r="ED681" i="99"/>
  <c r="EN681" i="99"/>
  <c r="EY681" i="99"/>
  <c r="FJ681" i="99"/>
  <c r="FT681" i="99"/>
  <c r="GE681" i="99"/>
  <c r="LN681" i="99"/>
  <c r="MP682" i="99"/>
  <c r="MH682" i="99"/>
  <c r="A682" i="99"/>
  <c r="M682" i="99"/>
  <c r="GU682" i="99"/>
  <c r="HK682" i="99"/>
  <c r="MF682" i="99"/>
  <c r="LG683" i="99"/>
  <c r="LK683" i="99"/>
  <c r="LJ683" i="99"/>
  <c r="FP683" i="99"/>
  <c r="FH683" i="99"/>
  <c r="EZ683" i="99"/>
  <c r="ER683" i="99"/>
  <c r="EJ683" i="99"/>
  <c r="EB683" i="99"/>
  <c r="DT683" i="99"/>
  <c r="DL683" i="99"/>
  <c r="DD683" i="99"/>
  <c r="CV683" i="99"/>
  <c r="CN683" i="99"/>
  <c r="CF683" i="99"/>
  <c r="BX683" i="99"/>
  <c r="BP683" i="99"/>
  <c r="BH683" i="99"/>
  <c r="AZ683" i="99"/>
  <c r="AR683" i="99"/>
  <c r="AJ683" i="99"/>
  <c r="LP683" i="99"/>
  <c r="FO683" i="99"/>
  <c r="FG683" i="99"/>
  <c r="EY683" i="99"/>
  <c r="EQ683" i="99"/>
  <c r="EI683" i="99"/>
  <c r="LM683" i="99"/>
  <c r="FV683" i="99"/>
  <c r="FN683" i="99"/>
  <c r="FF683" i="99"/>
  <c r="EX683" i="99"/>
  <c r="EP683" i="99"/>
  <c r="DZ683" i="99"/>
  <c r="DR683" i="99"/>
  <c r="DJ683" i="99"/>
  <c r="DB683" i="99"/>
  <c r="CT683" i="99"/>
  <c r="CL683" i="99"/>
  <c r="CD683" i="99"/>
  <c r="BV683" i="99"/>
  <c r="BN683" i="99"/>
  <c r="BF683" i="99"/>
  <c r="AX683" i="99"/>
  <c r="AP683" i="99"/>
  <c r="AH683" i="99"/>
  <c r="Z683" i="99"/>
  <c r="LI683" i="99"/>
  <c r="LH683" i="99"/>
  <c r="FT683" i="99"/>
  <c r="FL683" i="99"/>
  <c r="FD683" i="99"/>
  <c r="EV683" i="99"/>
  <c r="EN683" i="99"/>
  <c r="DX683" i="99"/>
  <c r="DP683" i="99"/>
  <c r="DH683" i="99"/>
  <c r="DO683" i="99"/>
  <c r="DG683" i="99"/>
  <c r="CY683" i="99"/>
  <c r="CQ683" i="99"/>
  <c r="CI683" i="99"/>
  <c r="CA683" i="99"/>
  <c r="BS683" i="99"/>
  <c r="BK683" i="99"/>
  <c r="BC683" i="99"/>
  <c r="AU683" i="99"/>
  <c r="AM683" i="99"/>
  <c r="AE683" i="99"/>
  <c r="AA683" i="99"/>
  <c r="AT683" i="99"/>
  <c r="BO683" i="99"/>
  <c r="CJ683" i="99"/>
  <c r="DF683" i="99"/>
  <c r="ET683" i="99"/>
  <c r="FV681" i="99"/>
  <c r="LP681" i="99"/>
  <c r="GD682" i="99"/>
  <c r="GA682" i="99"/>
  <c r="EE682" i="99"/>
  <c r="GF682" i="99"/>
  <c r="LS682" i="99"/>
  <c r="MI682" i="99"/>
  <c r="LY683" i="99"/>
  <c r="LG680" i="99"/>
  <c r="AD681" i="99"/>
  <c r="AN681" i="99"/>
  <c r="AY681" i="99"/>
  <c r="BJ681" i="99"/>
  <c r="BT681" i="99"/>
  <c r="CE681" i="99"/>
  <c r="CP681" i="99"/>
  <c r="CZ681" i="99"/>
  <c r="DK681" i="99"/>
  <c r="DV681" i="99"/>
  <c r="EF681" i="99"/>
  <c r="EQ681" i="99"/>
  <c r="FB681" i="99"/>
  <c r="FL681" i="99"/>
  <c r="FW681" i="99"/>
  <c r="ED682" i="99"/>
  <c r="GH682" i="99"/>
  <c r="GX682" i="99"/>
  <c r="HN682" i="99"/>
  <c r="MJ682" i="99"/>
  <c r="AD683" i="99"/>
  <c r="AY683" i="99"/>
  <c r="BT683" i="99"/>
  <c r="CP683" i="99"/>
  <c r="DN683" i="99"/>
  <c r="FJ683" i="99"/>
  <c r="AE681" i="99"/>
  <c r="AP681" i="99"/>
  <c r="AZ681" i="99"/>
  <c r="BK681" i="99"/>
  <c r="BV681" i="99"/>
  <c r="CF681" i="99"/>
  <c r="CQ681" i="99"/>
  <c r="DB681" i="99"/>
  <c r="DL681" i="99"/>
  <c r="DW681" i="99"/>
  <c r="EH681" i="99"/>
  <c r="ER681" i="99"/>
  <c r="FC681" i="99"/>
  <c r="FN681" i="99"/>
  <c r="LG681" i="99"/>
  <c r="LZ682" i="99"/>
  <c r="LR682" i="99"/>
  <c r="HR682" i="99"/>
  <c r="HJ682" i="99"/>
  <c r="HB682" i="99"/>
  <c r="GT682" i="99"/>
  <c r="GL682" i="99"/>
  <c r="HO682" i="99"/>
  <c r="HG682" i="99"/>
  <c r="GY682" i="99"/>
  <c r="GQ682" i="99"/>
  <c r="GI682" i="99"/>
  <c r="EF682" i="99"/>
  <c r="GJ682" i="99"/>
  <c r="GZ682" i="99"/>
  <c r="HP682" i="99"/>
  <c r="LV682" i="99"/>
  <c r="ML682" i="99"/>
  <c r="MN683" i="99"/>
  <c r="MK683" i="99"/>
  <c r="MG683" i="99"/>
  <c r="A683" i="99"/>
  <c r="GF683" i="99"/>
  <c r="FX683" i="99"/>
  <c r="GE683" i="99"/>
  <c r="FW683" i="99"/>
  <c r="GD683" i="99"/>
  <c r="EH683" i="99"/>
  <c r="GB683" i="99"/>
  <c r="EF683" i="99"/>
  <c r="AF683" i="99"/>
  <c r="BB683" i="99"/>
  <c r="BW683" i="99"/>
  <c r="CR683" i="99"/>
  <c r="DS683" i="99"/>
  <c r="FR683" i="99"/>
  <c r="LO681" i="99"/>
  <c r="LW681" i="99"/>
  <c r="ME681" i="99"/>
  <c r="MM681" i="99"/>
  <c r="HW682" i="99"/>
  <c r="IE682" i="99"/>
  <c r="IM682" i="99"/>
  <c r="IU682" i="99"/>
  <c r="JC682" i="99"/>
  <c r="JK682" i="99"/>
  <c r="JS682" i="99"/>
  <c r="KA682" i="99"/>
  <c r="KI682" i="99"/>
  <c r="KQ682" i="99"/>
  <c r="KY682" i="99"/>
  <c r="LO682" i="99"/>
  <c r="LW682" i="99"/>
  <c r="ME682" i="99"/>
  <c r="MM682" i="99"/>
  <c r="DW683" i="99"/>
  <c r="EE683" i="99"/>
  <c r="EM683" i="99"/>
  <c r="EU683" i="99"/>
  <c r="FC683" i="99"/>
  <c r="FK683" i="99"/>
  <c r="FS683" i="99"/>
  <c r="GA683" i="99"/>
  <c r="GJ683" i="99"/>
  <c r="GS683" i="99"/>
  <c r="HE683" i="99"/>
  <c r="HX683" i="99"/>
  <c r="IS683" i="99"/>
  <c r="JM683" i="99"/>
  <c r="KJ683" i="99"/>
  <c r="LE683" i="99"/>
  <c r="LG684" i="99"/>
  <c r="LK684" i="99"/>
  <c r="LJ684" i="99"/>
  <c r="LI684" i="99"/>
  <c r="AC684" i="99"/>
  <c r="AW684" i="99"/>
  <c r="BT684" i="99"/>
  <c r="CO684" i="99"/>
  <c r="DI684" i="99"/>
  <c r="EF684" i="99"/>
  <c r="FA684" i="99"/>
  <c r="FU684" i="99"/>
  <c r="GW684" i="99"/>
  <c r="IC684" i="99"/>
  <c r="JI684" i="99"/>
  <c r="MM684" i="99"/>
  <c r="ME684" i="99"/>
  <c r="LW684" i="99"/>
  <c r="LO684" i="99"/>
  <c r="KY684" i="99"/>
  <c r="KQ684" i="99"/>
  <c r="KI684" i="99"/>
  <c r="KA684" i="99"/>
  <c r="JS684" i="99"/>
  <c r="JK684" i="99"/>
  <c r="JC684" i="99"/>
  <c r="IU684" i="99"/>
  <c r="IM684" i="99"/>
  <c r="IE684" i="99"/>
  <c r="HW684" i="99"/>
  <c r="HO684" i="99"/>
  <c r="HG684" i="99"/>
  <c r="GY684" i="99"/>
  <c r="GQ684" i="99"/>
  <c r="GI684" i="99"/>
  <c r="GA684" i="99"/>
  <c r="FS684" i="99"/>
  <c r="FK684" i="99"/>
  <c r="FC684" i="99"/>
  <c r="EU684" i="99"/>
  <c r="EM684" i="99"/>
  <c r="EE684" i="99"/>
  <c r="DW684" i="99"/>
  <c r="DO684" i="99"/>
  <c r="DG684" i="99"/>
  <c r="CY684" i="99"/>
  <c r="CQ684" i="99"/>
  <c r="CI684" i="99"/>
  <c r="CA684" i="99"/>
  <c r="BS684" i="99"/>
  <c r="BK684" i="99"/>
  <c r="BC684" i="99"/>
  <c r="AU684" i="99"/>
  <c r="AM684" i="99"/>
  <c r="AE684" i="99"/>
  <c r="MT684" i="99"/>
  <c r="ML684" i="99"/>
  <c r="MD684" i="99"/>
  <c r="LV684" i="99"/>
  <c r="LN684" i="99"/>
  <c r="LF684" i="99"/>
  <c r="KX684" i="99"/>
  <c r="KP684" i="99"/>
  <c r="KH684" i="99"/>
  <c r="JZ684" i="99"/>
  <c r="JR684" i="99"/>
  <c r="JJ684" i="99"/>
  <c r="JB684" i="99"/>
  <c r="IT684" i="99"/>
  <c r="IL684" i="99"/>
  <c r="ID684" i="99"/>
  <c r="HV684" i="99"/>
  <c r="HN684" i="99"/>
  <c r="HF684" i="99"/>
  <c r="GX684" i="99"/>
  <c r="GP684" i="99"/>
  <c r="GH684" i="99"/>
  <c r="FZ684" i="99"/>
  <c r="FR684" i="99"/>
  <c r="FJ684" i="99"/>
  <c r="FB684" i="99"/>
  <c r="ET684" i="99"/>
  <c r="EL684" i="99"/>
  <c r="ED684" i="99"/>
  <c r="DV684" i="99"/>
  <c r="DN684" i="99"/>
  <c r="DF684" i="99"/>
  <c r="CX684" i="99"/>
  <c r="CP684" i="99"/>
  <c r="CH684" i="99"/>
  <c r="BZ684" i="99"/>
  <c r="BR684" i="99"/>
  <c r="BJ684" i="99"/>
  <c r="BB684" i="99"/>
  <c r="AT684" i="99"/>
  <c r="AL684" i="99"/>
  <c r="AD684" i="99"/>
  <c r="MS684" i="99"/>
  <c r="MK684" i="99"/>
  <c r="MC684" i="99"/>
  <c r="LU684" i="99"/>
  <c r="LM684" i="99"/>
  <c r="LE684" i="99"/>
  <c r="KW684" i="99"/>
  <c r="KO684" i="99"/>
  <c r="KG684" i="99"/>
  <c r="MR684" i="99"/>
  <c r="MJ684" i="99"/>
  <c r="MB684" i="99"/>
  <c r="LT684" i="99"/>
  <c r="LL684" i="99"/>
  <c r="LD684" i="99"/>
  <c r="KV684" i="99"/>
  <c r="KN684" i="99"/>
  <c r="KF684" i="99"/>
  <c r="JX684" i="99"/>
  <c r="JP684" i="99"/>
  <c r="JH684" i="99"/>
  <c r="IZ684" i="99"/>
  <c r="IR684" i="99"/>
  <c r="IJ684" i="99"/>
  <c r="IB684" i="99"/>
  <c r="HT684" i="99"/>
  <c r="HL684" i="99"/>
  <c r="HD684" i="99"/>
  <c r="GV684" i="99"/>
  <c r="GN684" i="99"/>
  <c r="GF684" i="99"/>
  <c r="FX684" i="99"/>
  <c r="FP684" i="99"/>
  <c r="FH684" i="99"/>
  <c r="EZ684" i="99"/>
  <c r="ER684" i="99"/>
  <c r="EJ684" i="99"/>
  <c r="EB684" i="99"/>
  <c r="DT684" i="99"/>
  <c r="DL684" i="99"/>
  <c r="DD684" i="99"/>
  <c r="CV684" i="99"/>
  <c r="CN684" i="99"/>
  <c r="CF684" i="99"/>
  <c r="BX684" i="99"/>
  <c r="BP684" i="99"/>
  <c r="BH684" i="99"/>
  <c r="AZ684" i="99"/>
  <c r="AR684" i="99"/>
  <c r="AJ684" i="99"/>
  <c r="AB684" i="99"/>
  <c r="MQ684" i="99"/>
  <c r="MI684" i="99"/>
  <c r="MA684" i="99"/>
  <c r="LS684" i="99"/>
  <c r="LC684" i="99"/>
  <c r="KU684" i="99"/>
  <c r="KM684" i="99"/>
  <c r="KE684" i="99"/>
  <c r="JW684" i="99"/>
  <c r="JO684" i="99"/>
  <c r="JG684" i="99"/>
  <c r="IY684" i="99"/>
  <c r="IQ684" i="99"/>
  <c r="II684" i="99"/>
  <c r="IA684" i="99"/>
  <c r="HS684" i="99"/>
  <c r="HK684" i="99"/>
  <c r="HC684" i="99"/>
  <c r="GU684" i="99"/>
  <c r="GM684" i="99"/>
  <c r="GE684" i="99"/>
  <c r="FW684" i="99"/>
  <c r="FO684" i="99"/>
  <c r="FG684" i="99"/>
  <c r="EY684" i="99"/>
  <c r="EQ684" i="99"/>
  <c r="EI684" i="99"/>
  <c r="EA684" i="99"/>
  <c r="DS684" i="99"/>
  <c r="DK684" i="99"/>
  <c r="DC684" i="99"/>
  <c r="CU684" i="99"/>
  <c r="CM684" i="99"/>
  <c r="CE684" i="99"/>
  <c r="BW684" i="99"/>
  <c r="BO684" i="99"/>
  <c r="BG684" i="99"/>
  <c r="AY684" i="99"/>
  <c r="AQ684" i="99"/>
  <c r="AI684" i="99"/>
  <c r="AA684" i="99"/>
  <c r="MP684" i="99"/>
  <c r="MH684" i="99"/>
  <c r="LZ684" i="99"/>
  <c r="LR684" i="99"/>
  <c r="LB684" i="99"/>
  <c r="KT684" i="99"/>
  <c r="KL684" i="99"/>
  <c r="KD684" i="99"/>
  <c r="JV684" i="99"/>
  <c r="JN684" i="99"/>
  <c r="JF684" i="99"/>
  <c r="IX684" i="99"/>
  <c r="IP684" i="99"/>
  <c r="IH684" i="99"/>
  <c r="HZ684" i="99"/>
  <c r="HR684" i="99"/>
  <c r="HJ684" i="99"/>
  <c r="HB684" i="99"/>
  <c r="GT684" i="99"/>
  <c r="GL684" i="99"/>
  <c r="GD684" i="99"/>
  <c r="FV684" i="99"/>
  <c r="FN684" i="99"/>
  <c r="FF684" i="99"/>
  <c r="EX684" i="99"/>
  <c r="EP684" i="99"/>
  <c r="EH684" i="99"/>
  <c r="DZ684" i="99"/>
  <c r="DR684" i="99"/>
  <c r="DJ684" i="99"/>
  <c r="DB684" i="99"/>
  <c r="CT684" i="99"/>
  <c r="CL684" i="99"/>
  <c r="CD684" i="99"/>
  <c r="BV684" i="99"/>
  <c r="BN684" i="99"/>
  <c r="BF684" i="99"/>
  <c r="AX684" i="99"/>
  <c r="AP684" i="99"/>
  <c r="AH684" i="99"/>
  <c r="Z684" i="99"/>
  <c r="MO684" i="99"/>
  <c r="MG684" i="99"/>
  <c r="LY684" i="99"/>
  <c r="LQ684" i="99"/>
  <c r="LA684" i="99"/>
  <c r="KS684" i="99"/>
  <c r="KK684" i="99"/>
  <c r="KC684" i="99"/>
  <c r="JU684" i="99"/>
  <c r="JM684" i="99"/>
  <c r="JE684" i="99"/>
  <c r="IW684" i="99"/>
  <c r="IO684" i="99"/>
  <c r="IG684" i="99"/>
  <c r="HY684" i="99"/>
  <c r="HQ684" i="99"/>
  <c r="HI684" i="99"/>
  <c r="HA684" i="99"/>
  <c r="GS684" i="99"/>
  <c r="GK684" i="99"/>
  <c r="AF684" i="99"/>
  <c r="BA684" i="99"/>
  <c r="BU684" i="99"/>
  <c r="CR684" i="99"/>
  <c r="DM684" i="99"/>
  <c r="EG684" i="99"/>
  <c r="FD684" i="99"/>
  <c r="FY684" i="99"/>
  <c r="GZ684" i="99"/>
  <c r="IF684" i="99"/>
  <c r="JL684" i="99"/>
  <c r="LH684" i="99"/>
  <c r="Y681" i="99"/>
  <c r="AG681" i="99"/>
  <c r="AO681" i="99"/>
  <c r="AW681" i="99"/>
  <c r="BE681" i="99"/>
  <c r="BM681" i="99"/>
  <c r="BU681" i="99"/>
  <c r="CC681" i="99"/>
  <c r="CK681" i="99"/>
  <c r="CS681" i="99"/>
  <c r="DA681" i="99"/>
  <c r="DI681" i="99"/>
  <c r="DQ681" i="99"/>
  <c r="DY681" i="99"/>
  <c r="EG681" i="99"/>
  <c r="EO681" i="99"/>
  <c r="EW681" i="99"/>
  <c r="FE681" i="99"/>
  <c r="FM681" i="99"/>
  <c r="FU681" i="99"/>
  <c r="GC681" i="99"/>
  <c r="GK681" i="99"/>
  <c r="GS681" i="99"/>
  <c r="HA681" i="99"/>
  <c r="HI681" i="99"/>
  <c r="HQ681" i="99"/>
  <c r="HY681" i="99"/>
  <c r="IG681" i="99"/>
  <c r="IO681" i="99"/>
  <c r="IW681" i="99"/>
  <c r="JE681" i="99"/>
  <c r="JM681" i="99"/>
  <c r="JU681" i="99"/>
  <c r="KC681" i="99"/>
  <c r="KK681" i="99"/>
  <c r="KS681" i="99"/>
  <c r="LA681" i="99"/>
  <c r="LQ681" i="99"/>
  <c r="LY681" i="99"/>
  <c r="MG681" i="99"/>
  <c r="MO681" i="99"/>
  <c r="Y682" i="99"/>
  <c r="AG682" i="99"/>
  <c r="AO682" i="99"/>
  <c r="AW682" i="99"/>
  <c r="BE682" i="99"/>
  <c r="BM682" i="99"/>
  <c r="BU682" i="99"/>
  <c r="CC682" i="99"/>
  <c r="CK682" i="99"/>
  <c r="CS682" i="99"/>
  <c r="DA682" i="99"/>
  <c r="DI682" i="99"/>
  <c r="DQ682" i="99"/>
  <c r="DY682" i="99"/>
  <c r="EG682" i="99"/>
  <c r="EO682" i="99"/>
  <c r="EW682" i="99"/>
  <c r="FE682" i="99"/>
  <c r="FM682" i="99"/>
  <c r="FU682" i="99"/>
  <c r="GC682" i="99"/>
  <c r="GK682" i="99"/>
  <c r="GS682" i="99"/>
  <c r="HA682" i="99"/>
  <c r="HI682" i="99"/>
  <c r="HQ682" i="99"/>
  <c r="HY682" i="99"/>
  <c r="IG682" i="99"/>
  <c r="IO682" i="99"/>
  <c r="IW682" i="99"/>
  <c r="JE682" i="99"/>
  <c r="JM682" i="99"/>
  <c r="JU682" i="99"/>
  <c r="KC682" i="99"/>
  <c r="KK682" i="99"/>
  <c r="KS682" i="99"/>
  <c r="LA682" i="99"/>
  <c r="LQ682" i="99"/>
  <c r="LY682" i="99"/>
  <c r="MG682" i="99"/>
  <c r="MO682" i="99"/>
  <c r="MM683" i="99"/>
  <c r="ME683" i="99"/>
  <c r="LW683" i="99"/>
  <c r="LO683" i="99"/>
  <c r="KY683" i="99"/>
  <c r="KQ683" i="99"/>
  <c r="KI683" i="99"/>
  <c r="KA683" i="99"/>
  <c r="JS683" i="99"/>
  <c r="JK683" i="99"/>
  <c r="JC683" i="99"/>
  <c r="IU683" i="99"/>
  <c r="IM683" i="99"/>
  <c r="IE683" i="99"/>
  <c r="HW683" i="99"/>
  <c r="HO683" i="99"/>
  <c r="HG683" i="99"/>
  <c r="GY683" i="99"/>
  <c r="GQ683" i="99"/>
  <c r="GI683" i="99"/>
  <c r="MT683" i="99"/>
  <c r="ML683" i="99"/>
  <c r="MD683" i="99"/>
  <c r="LV683" i="99"/>
  <c r="LN683" i="99"/>
  <c r="LF683" i="99"/>
  <c r="KX683" i="99"/>
  <c r="KP683" i="99"/>
  <c r="KH683" i="99"/>
  <c r="JZ683" i="99"/>
  <c r="JR683" i="99"/>
  <c r="JJ683" i="99"/>
  <c r="JB683" i="99"/>
  <c r="IT683" i="99"/>
  <c r="IL683" i="99"/>
  <c r="ID683" i="99"/>
  <c r="HV683" i="99"/>
  <c r="HN683" i="99"/>
  <c r="MR683" i="99"/>
  <c r="MJ683" i="99"/>
  <c r="MB683" i="99"/>
  <c r="LT683" i="99"/>
  <c r="LL683" i="99"/>
  <c r="LD683" i="99"/>
  <c r="KV683" i="99"/>
  <c r="KN683" i="99"/>
  <c r="KF683" i="99"/>
  <c r="JX683" i="99"/>
  <c r="JP683" i="99"/>
  <c r="JH683" i="99"/>
  <c r="IZ683" i="99"/>
  <c r="IR683" i="99"/>
  <c r="IJ683" i="99"/>
  <c r="IB683" i="99"/>
  <c r="HT683" i="99"/>
  <c r="HL683" i="99"/>
  <c r="HD683" i="99"/>
  <c r="MQ683" i="99"/>
  <c r="MI683" i="99"/>
  <c r="MA683" i="99"/>
  <c r="LS683" i="99"/>
  <c r="LC683" i="99"/>
  <c r="KU683" i="99"/>
  <c r="KM683" i="99"/>
  <c r="KE683" i="99"/>
  <c r="JW683" i="99"/>
  <c r="JO683" i="99"/>
  <c r="JG683" i="99"/>
  <c r="IY683" i="99"/>
  <c r="IQ683" i="99"/>
  <c r="II683" i="99"/>
  <c r="IA683" i="99"/>
  <c r="HS683" i="99"/>
  <c r="HK683" i="99"/>
  <c r="HC683" i="99"/>
  <c r="MP683" i="99"/>
  <c r="MH683" i="99"/>
  <c r="LZ683" i="99"/>
  <c r="LR683" i="99"/>
  <c r="LB683" i="99"/>
  <c r="KT683" i="99"/>
  <c r="KL683" i="99"/>
  <c r="KD683" i="99"/>
  <c r="JV683" i="99"/>
  <c r="JN683" i="99"/>
  <c r="JF683" i="99"/>
  <c r="IX683" i="99"/>
  <c r="IP683" i="99"/>
  <c r="IH683" i="99"/>
  <c r="HZ683" i="99"/>
  <c r="HR683" i="99"/>
  <c r="HJ683" i="99"/>
  <c r="HB683" i="99"/>
  <c r="Y683" i="99"/>
  <c r="AG683" i="99"/>
  <c r="AO683" i="99"/>
  <c r="AW683" i="99"/>
  <c r="BE683" i="99"/>
  <c r="BM683" i="99"/>
  <c r="BU683" i="99"/>
  <c r="CC683" i="99"/>
  <c r="CK683" i="99"/>
  <c r="CS683" i="99"/>
  <c r="DA683" i="99"/>
  <c r="DI683" i="99"/>
  <c r="DQ683" i="99"/>
  <c r="DY683" i="99"/>
  <c r="EG683" i="99"/>
  <c r="EO683" i="99"/>
  <c r="EW683" i="99"/>
  <c r="FE683" i="99"/>
  <c r="FM683" i="99"/>
  <c r="FU683" i="99"/>
  <c r="GC683" i="99"/>
  <c r="GL683" i="99"/>
  <c r="GU683" i="99"/>
  <c r="HH683" i="99"/>
  <c r="IC683" i="99"/>
  <c r="IW683" i="99"/>
  <c r="JT683" i="99"/>
  <c r="KO683" i="99"/>
  <c r="MF683" i="99"/>
  <c r="AG684" i="99"/>
  <c r="BD684" i="99"/>
  <c r="BY684" i="99"/>
  <c r="CS684" i="99"/>
  <c r="DP684" i="99"/>
  <c r="EK684" i="99"/>
  <c r="FE684" i="99"/>
  <c r="GB684" i="99"/>
  <c r="HE684" i="99"/>
  <c r="IK684" i="99"/>
  <c r="JQ684" i="99"/>
  <c r="LP684" i="99"/>
  <c r="GR685" i="99"/>
  <c r="IH682" i="99"/>
  <c r="IP682" i="99"/>
  <c r="IX682" i="99"/>
  <c r="JF682" i="99"/>
  <c r="JN682" i="99"/>
  <c r="JV682" i="99"/>
  <c r="KD682" i="99"/>
  <c r="KL682" i="99"/>
  <c r="KT682" i="99"/>
  <c r="IF683" i="99"/>
  <c r="JA683" i="99"/>
  <c r="JU683" i="99"/>
  <c r="KR683" i="99"/>
  <c r="A684" i="99"/>
  <c r="AK684" i="99"/>
  <c r="BE684" i="99"/>
  <c r="CB684" i="99"/>
  <c r="CW684" i="99"/>
  <c r="DQ684" i="99"/>
  <c r="EN684" i="99"/>
  <c r="FI684" i="99"/>
  <c r="GC684" i="99"/>
  <c r="HH684" i="99"/>
  <c r="IN684" i="99"/>
  <c r="JT684" i="99"/>
  <c r="LX684" i="99"/>
  <c r="AN684" i="99"/>
  <c r="BI684" i="99"/>
  <c r="CC684" i="99"/>
  <c r="CZ684" i="99"/>
  <c r="DU684" i="99"/>
  <c r="EO684" i="99"/>
  <c r="FL684" i="99"/>
  <c r="GG684" i="99"/>
  <c r="HM684" i="99"/>
  <c r="IS684" i="99"/>
  <c r="JY684" i="99"/>
  <c r="MF684" i="99"/>
  <c r="JE683" i="99"/>
  <c r="KB683" i="99"/>
  <c r="AO684" i="99"/>
  <c r="BL684" i="99"/>
  <c r="CG684" i="99"/>
  <c r="DA684" i="99"/>
  <c r="DX684" i="99"/>
  <c r="ES684" i="99"/>
  <c r="FM684" i="99"/>
  <c r="GJ684" i="99"/>
  <c r="HP684" i="99"/>
  <c r="IV684" i="99"/>
  <c r="KB684" i="99"/>
  <c r="MN684" i="99"/>
  <c r="AC681" i="99"/>
  <c r="AK681" i="99"/>
  <c r="AS681" i="99"/>
  <c r="BA681" i="99"/>
  <c r="BI681" i="99"/>
  <c r="BQ681" i="99"/>
  <c r="BY681" i="99"/>
  <c r="CG681" i="99"/>
  <c r="CO681" i="99"/>
  <c r="CW681" i="99"/>
  <c r="DE681" i="99"/>
  <c r="DM681" i="99"/>
  <c r="DU681" i="99"/>
  <c r="EC681" i="99"/>
  <c r="EK681" i="99"/>
  <c r="ES681" i="99"/>
  <c r="FA681" i="99"/>
  <c r="FI681" i="99"/>
  <c r="FQ681" i="99"/>
  <c r="FY681" i="99"/>
  <c r="GG681" i="99"/>
  <c r="GO681" i="99"/>
  <c r="GW681" i="99"/>
  <c r="HE681" i="99"/>
  <c r="HM681" i="99"/>
  <c r="HU681" i="99"/>
  <c r="IC681" i="99"/>
  <c r="IK681" i="99"/>
  <c r="IS681" i="99"/>
  <c r="JA681" i="99"/>
  <c r="JI681" i="99"/>
  <c r="JQ681" i="99"/>
  <c r="JY681" i="99"/>
  <c r="KG681" i="99"/>
  <c r="KO681" i="99"/>
  <c r="KW681" i="99"/>
  <c r="LE681" i="99"/>
  <c r="LM681" i="99"/>
  <c r="LU681" i="99"/>
  <c r="MC681" i="99"/>
  <c r="MK681" i="99"/>
  <c r="AC682" i="99"/>
  <c r="AK682" i="99"/>
  <c r="AS682" i="99"/>
  <c r="BA682" i="99"/>
  <c r="BI682" i="99"/>
  <c r="BQ682" i="99"/>
  <c r="BY682" i="99"/>
  <c r="CG682" i="99"/>
  <c r="CO682" i="99"/>
  <c r="CW682" i="99"/>
  <c r="DE682" i="99"/>
  <c r="DM682" i="99"/>
  <c r="DU682" i="99"/>
  <c r="EC682" i="99"/>
  <c r="EK682" i="99"/>
  <c r="ES682" i="99"/>
  <c r="FA682" i="99"/>
  <c r="FI682" i="99"/>
  <c r="FQ682" i="99"/>
  <c r="FY682" i="99"/>
  <c r="GG682" i="99"/>
  <c r="GO682" i="99"/>
  <c r="GW682" i="99"/>
  <c r="HE682" i="99"/>
  <c r="HM682" i="99"/>
  <c r="HU682" i="99"/>
  <c r="IC682" i="99"/>
  <c r="IK682" i="99"/>
  <c r="IS682" i="99"/>
  <c r="JA682" i="99"/>
  <c r="JI682" i="99"/>
  <c r="JQ682" i="99"/>
  <c r="JY682" i="99"/>
  <c r="KG682" i="99"/>
  <c r="KO682" i="99"/>
  <c r="KW682" i="99"/>
  <c r="LE682" i="99"/>
  <c r="LM682" i="99"/>
  <c r="LU682" i="99"/>
  <c r="MC682" i="99"/>
  <c r="MK682" i="99"/>
  <c r="AC683" i="99"/>
  <c r="AK683" i="99"/>
  <c r="AS683" i="99"/>
  <c r="BA683" i="99"/>
  <c r="BI683" i="99"/>
  <c r="BQ683" i="99"/>
  <c r="BY683" i="99"/>
  <c r="CG683" i="99"/>
  <c r="CO683" i="99"/>
  <c r="CW683" i="99"/>
  <c r="DE683" i="99"/>
  <c r="DM683" i="99"/>
  <c r="DU683" i="99"/>
  <c r="EC683" i="99"/>
  <c r="EK683" i="99"/>
  <c r="ES683" i="99"/>
  <c r="FA683" i="99"/>
  <c r="FI683" i="99"/>
  <c r="FQ683" i="99"/>
  <c r="FY683" i="99"/>
  <c r="GG683" i="99"/>
  <c r="GP683" i="99"/>
  <c r="GZ683" i="99"/>
  <c r="HQ683" i="99"/>
  <c r="IN683" i="99"/>
  <c r="JI683" i="99"/>
  <c r="KC683" i="99"/>
  <c r="KZ683" i="99"/>
  <c r="LU683" i="99"/>
  <c r="MO683" i="99"/>
  <c r="L684" i="99"/>
  <c r="M684" i="99" s="1"/>
  <c r="X684" i="99"/>
  <c r="AS684" i="99"/>
  <c r="BM684" i="99"/>
  <c r="CJ684" i="99"/>
  <c r="DE684" i="99"/>
  <c r="DY684" i="99"/>
  <c r="EV684" i="99"/>
  <c r="FQ684" i="99"/>
  <c r="GO684" i="99"/>
  <c r="HU684" i="99"/>
  <c r="JA684" i="99"/>
  <c r="KJ684" i="99"/>
  <c r="LG685" i="99"/>
  <c r="LK685" i="99"/>
  <c r="LJ685" i="99"/>
  <c r="LI685" i="99"/>
  <c r="AN685" i="99"/>
  <c r="CZ685" i="99"/>
  <c r="FL685" i="99"/>
  <c r="HX685" i="99"/>
  <c r="Y685" i="99"/>
  <c r="AG685" i="99"/>
  <c r="AO685" i="99"/>
  <c r="AW685" i="99"/>
  <c r="BE685" i="99"/>
  <c r="BM685" i="99"/>
  <c r="BU685" i="99"/>
  <c r="CC685" i="99"/>
  <c r="CK685" i="99"/>
  <c r="CS685" i="99"/>
  <c r="DA685" i="99"/>
  <c r="DI685" i="99"/>
  <c r="DQ685" i="99"/>
  <c r="DY685" i="99"/>
  <c r="EG685" i="99"/>
  <c r="EO685" i="99"/>
  <c r="EW685" i="99"/>
  <c r="FE685" i="99"/>
  <c r="FM685" i="99"/>
  <c r="FU685" i="99"/>
  <c r="GC685" i="99"/>
  <c r="GK685" i="99"/>
  <c r="GS685" i="99"/>
  <c r="HA685" i="99"/>
  <c r="HI685" i="99"/>
  <c r="HQ685" i="99"/>
  <c r="HY685" i="99"/>
  <c r="IG685" i="99"/>
  <c r="IO685" i="99"/>
  <c r="IW685" i="99"/>
  <c r="JE685" i="99"/>
  <c r="JM685" i="99"/>
  <c r="JU685" i="99"/>
  <c r="KC685" i="99"/>
  <c r="KK685" i="99"/>
  <c r="KS685" i="99"/>
  <c r="LA685" i="99"/>
  <c r="LQ685" i="99"/>
  <c r="LY685" i="99"/>
  <c r="MG685" i="99"/>
  <c r="MO685" i="99"/>
  <c r="MN686" i="99"/>
  <c r="MF686" i="99"/>
  <c r="LX686" i="99"/>
  <c r="LP686" i="99"/>
  <c r="KZ686" i="99"/>
  <c r="KR686" i="99"/>
  <c r="KJ686" i="99"/>
  <c r="KB686" i="99"/>
  <c r="JT686" i="99"/>
  <c r="JL686" i="99"/>
  <c r="JD686" i="99"/>
  <c r="IV686" i="99"/>
  <c r="IN686" i="99"/>
  <c r="IF686" i="99"/>
  <c r="HX686" i="99"/>
  <c r="HP686" i="99"/>
  <c r="HH686" i="99"/>
  <c r="GZ686" i="99"/>
  <c r="GR686" i="99"/>
  <c r="GJ686" i="99"/>
  <c r="GB686" i="99"/>
  <c r="FT686" i="99"/>
  <c r="FL686" i="99"/>
  <c r="FD686" i="99"/>
  <c r="EV686" i="99"/>
  <c r="EN686" i="99"/>
  <c r="EF686" i="99"/>
  <c r="DX686" i="99"/>
  <c r="DP686" i="99"/>
  <c r="DH686" i="99"/>
  <c r="CZ686" i="99"/>
  <c r="CR686" i="99"/>
  <c r="CJ686" i="99"/>
  <c r="CB686" i="99"/>
  <c r="BT686" i="99"/>
  <c r="BL686" i="99"/>
  <c r="BD686" i="99"/>
  <c r="AV686" i="99"/>
  <c r="AN686" i="99"/>
  <c r="AF686" i="99"/>
  <c r="X686" i="99"/>
  <c r="MM686" i="99"/>
  <c r="ME686" i="99"/>
  <c r="LW686" i="99"/>
  <c r="LO686" i="99"/>
  <c r="KY686" i="99"/>
  <c r="KQ686" i="99"/>
  <c r="KI686" i="99"/>
  <c r="KA686" i="99"/>
  <c r="JS686" i="99"/>
  <c r="JK686" i="99"/>
  <c r="JC686" i="99"/>
  <c r="IU686" i="99"/>
  <c r="IM686" i="99"/>
  <c r="IE686" i="99"/>
  <c r="HW686" i="99"/>
  <c r="HO686" i="99"/>
  <c r="HG686" i="99"/>
  <c r="GY686" i="99"/>
  <c r="GQ686" i="99"/>
  <c r="GI686" i="99"/>
  <c r="GA686" i="99"/>
  <c r="FS686" i="99"/>
  <c r="FK686" i="99"/>
  <c r="FC686" i="99"/>
  <c r="EU686" i="99"/>
  <c r="EM686" i="99"/>
  <c r="EE686" i="99"/>
  <c r="DW686" i="99"/>
  <c r="DO686" i="99"/>
  <c r="DG686" i="99"/>
  <c r="CY686" i="99"/>
  <c r="CQ686" i="99"/>
  <c r="CI686" i="99"/>
  <c r="CA686" i="99"/>
  <c r="BS686" i="99"/>
  <c r="BK686" i="99"/>
  <c r="BC686" i="99"/>
  <c r="AU686" i="99"/>
  <c r="AM686" i="99"/>
  <c r="AE686" i="99"/>
  <c r="MT686" i="99"/>
  <c r="ML686" i="99"/>
  <c r="MD686" i="99"/>
  <c r="LV686" i="99"/>
  <c r="LN686" i="99"/>
  <c r="LF686" i="99"/>
  <c r="KX686" i="99"/>
  <c r="KP686" i="99"/>
  <c r="KH686" i="99"/>
  <c r="JZ686" i="99"/>
  <c r="JR686" i="99"/>
  <c r="JJ686" i="99"/>
  <c r="JB686" i="99"/>
  <c r="IT686" i="99"/>
  <c r="IL686" i="99"/>
  <c r="ID686" i="99"/>
  <c r="HV686" i="99"/>
  <c r="HN686" i="99"/>
  <c r="HF686" i="99"/>
  <c r="GX686" i="99"/>
  <c r="GP686" i="99"/>
  <c r="GH686" i="99"/>
  <c r="FZ686" i="99"/>
  <c r="FR686" i="99"/>
  <c r="MS686" i="99"/>
  <c r="MK686" i="99"/>
  <c r="MC686" i="99"/>
  <c r="LU686" i="99"/>
  <c r="LM686" i="99"/>
  <c r="LE686" i="99"/>
  <c r="KW686" i="99"/>
  <c r="MR686" i="99"/>
  <c r="MJ686" i="99"/>
  <c r="MB686" i="99"/>
  <c r="LT686" i="99"/>
  <c r="LL686" i="99"/>
  <c r="LD686" i="99"/>
  <c r="KV686" i="99"/>
  <c r="KN686" i="99"/>
  <c r="KF686" i="99"/>
  <c r="JX686" i="99"/>
  <c r="JP686" i="99"/>
  <c r="JH686" i="99"/>
  <c r="IZ686" i="99"/>
  <c r="IR686" i="99"/>
  <c r="IJ686" i="99"/>
  <c r="IB686" i="99"/>
  <c r="HT686" i="99"/>
  <c r="HL686" i="99"/>
  <c r="HD686" i="99"/>
  <c r="GV686" i="99"/>
  <c r="GN686" i="99"/>
  <c r="GF686" i="99"/>
  <c r="FX686" i="99"/>
  <c r="FP686" i="99"/>
  <c r="FH686" i="99"/>
  <c r="EZ686" i="99"/>
  <c r="ER686" i="99"/>
  <c r="EJ686" i="99"/>
  <c r="EB686" i="99"/>
  <c r="DT686" i="99"/>
  <c r="DL686" i="99"/>
  <c r="DD686" i="99"/>
  <c r="CV686" i="99"/>
  <c r="CN686" i="99"/>
  <c r="CF686" i="99"/>
  <c r="BX686" i="99"/>
  <c r="BP686" i="99"/>
  <c r="MQ686" i="99"/>
  <c r="MI686" i="99"/>
  <c r="MA686" i="99"/>
  <c r="LS686" i="99"/>
  <c r="LC686" i="99"/>
  <c r="KU686" i="99"/>
  <c r="KM686" i="99"/>
  <c r="KE686" i="99"/>
  <c r="JW686" i="99"/>
  <c r="JO686" i="99"/>
  <c r="JG686" i="99"/>
  <c r="IY686" i="99"/>
  <c r="IQ686" i="99"/>
  <c r="II686" i="99"/>
  <c r="IA686" i="99"/>
  <c r="HS686" i="99"/>
  <c r="HK686" i="99"/>
  <c r="HC686" i="99"/>
  <c r="GU686" i="99"/>
  <c r="GM686" i="99"/>
  <c r="GE686" i="99"/>
  <c r="FW686" i="99"/>
  <c r="FO686" i="99"/>
  <c r="FG686" i="99"/>
  <c r="MO686" i="99"/>
  <c r="MG686" i="99"/>
  <c r="LY686" i="99"/>
  <c r="LQ686" i="99"/>
  <c r="LA686" i="99"/>
  <c r="KS686" i="99"/>
  <c r="KK686" i="99"/>
  <c r="KC686" i="99"/>
  <c r="JU686" i="99"/>
  <c r="JM686" i="99"/>
  <c r="JE686" i="99"/>
  <c r="IW686" i="99"/>
  <c r="IO686" i="99"/>
  <c r="IG686" i="99"/>
  <c r="HY686" i="99"/>
  <c r="HQ686" i="99"/>
  <c r="HI686" i="99"/>
  <c r="HA686" i="99"/>
  <c r="GS686" i="99"/>
  <c r="GK686" i="99"/>
  <c r="GC686" i="99"/>
  <c r="FU686" i="99"/>
  <c r="FM686" i="99"/>
  <c r="FE686" i="99"/>
  <c r="EW686" i="99"/>
  <c r="EO686" i="99"/>
  <c r="EG686" i="99"/>
  <c r="DY686" i="99"/>
  <c r="DQ686" i="99"/>
  <c r="AA686" i="99"/>
  <c r="AK686" i="99"/>
  <c r="AW686" i="99"/>
  <c r="BG686" i="99"/>
  <c r="BR686" i="99"/>
  <c r="CE686" i="99"/>
  <c r="CS686" i="99"/>
  <c r="DE686" i="99"/>
  <c r="DS686" i="99"/>
  <c r="EI686" i="99"/>
  <c r="EY686" i="99"/>
  <c r="FV686" i="99"/>
  <c r="HB686" i="99"/>
  <c r="IH686" i="99"/>
  <c r="JN686" i="99"/>
  <c r="KT686" i="99"/>
  <c r="Z685" i="99"/>
  <c r="AH685" i="99"/>
  <c r="AP685" i="99"/>
  <c r="AX685" i="99"/>
  <c r="BF685" i="99"/>
  <c r="BN685" i="99"/>
  <c r="BV685" i="99"/>
  <c r="CD685" i="99"/>
  <c r="CL685" i="99"/>
  <c r="CT685" i="99"/>
  <c r="DB685" i="99"/>
  <c r="DJ685" i="99"/>
  <c r="DR685" i="99"/>
  <c r="DZ685" i="99"/>
  <c r="EH685" i="99"/>
  <c r="EP685" i="99"/>
  <c r="EX685" i="99"/>
  <c r="FF685" i="99"/>
  <c r="FN685" i="99"/>
  <c r="FV685" i="99"/>
  <c r="GD685" i="99"/>
  <c r="GL685" i="99"/>
  <c r="GT685" i="99"/>
  <c r="HB685" i="99"/>
  <c r="HJ685" i="99"/>
  <c r="HR685" i="99"/>
  <c r="HZ685" i="99"/>
  <c r="IH685" i="99"/>
  <c r="IP685" i="99"/>
  <c r="IX685" i="99"/>
  <c r="JF685" i="99"/>
  <c r="JN685" i="99"/>
  <c r="JV685" i="99"/>
  <c r="KD685" i="99"/>
  <c r="KL685" i="99"/>
  <c r="KT685" i="99"/>
  <c r="LB685" i="99"/>
  <c r="LR685" i="99"/>
  <c r="LZ685" i="99"/>
  <c r="MH685" i="99"/>
  <c r="MP685" i="99"/>
  <c r="M686" i="99"/>
  <c r="AB686" i="99"/>
  <c r="AL686" i="99"/>
  <c r="AX686" i="99"/>
  <c r="BH686" i="99"/>
  <c r="BU686" i="99"/>
  <c r="CG686" i="99"/>
  <c r="CT686" i="99"/>
  <c r="DF686" i="99"/>
  <c r="DU686" i="99"/>
  <c r="EK686" i="99"/>
  <c r="FA686" i="99"/>
  <c r="FY686" i="99"/>
  <c r="HE686" i="99"/>
  <c r="IK686" i="99"/>
  <c r="JQ686" i="99"/>
  <c r="LB686" i="99"/>
  <c r="M685" i="99"/>
  <c r="AA685" i="99"/>
  <c r="AI685" i="99"/>
  <c r="AQ685" i="99"/>
  <c r="AY685" i="99"/>
  <c r="BG685" i="99"/>
  <c r="BO685" i="99"/>
  <c r="BW685" i="99"/>
  <c r="CE685" i="99"/>
  <c r="CM685" i="99"/>
  <c r="CU685" i="99"/>
  <c r="DC685" i="99"/>
  <c r="DK685" i="99"/>
  <c r="DS685" i="99"/>
  <c r="EA685" i="99"/>
  <c r="EI685" i="99"/>
  <c r="EQ685" i="99"/>
  <c r="EY685" i="99"/>
  <c r="FG685" i="99"/>
  <c r="FO685" i="99"/>
  <c r="FW685" i="99"/>
  <c r="GE685" i="99"/>
  <c r="GM685" i="99"/>
  <c r="GU685" i="99"/>
  <c r="HC685" i="99"/>
  <c r="HK685" i="99"/>
  <c r="HS685" i="99"/>
  <c r="IA685" i="99"/>
  <c r="II685" i="99"/>
  <c r="IQ685" i="99"/>
  <c r="IY685" i="99"/>
  <c r="JG685" i="99"/>
  <c r="JO685" i="99"/>
  <c r="JW685" i="99"/>
  <c r="KE685" i="99"/>
  <c r="KM685" i="99"/>
  <c r="KU685" i="99"/>
  <c r="LC685" i="99"/>
  <c r="LS685" i="99"/>
  <c r="MA685" i="99"/>
  <c r="MI685" i="99"/>
  <c r="MQ685" i="99"/>
  <c r="AC686" i="99"/>
  <c r="AO686" i="99"/>
  <c r="AY686" i="99"/>
  <c r="BI686" i="99"/>
  <c r="BV686" i="99"/>
  <c r="CH686" i="99"/>
  <c r="CU686" i="99"/>
  <c r="DI686" i="99"/>
  <c r="DV686" i="99"/>
  <c r="EL686" i="99"/>
  <c r="FB686" i="99"/>
  <c r="GD686" i="99"/>
  <c r="HJ686" i="99"/>
  <c r="IP686" i="99"/>
  <c r="JV686" i="99"/>
  <c r="LJ686" i="99"/>
  <c r="AB685" i="99"/>
  <c r="AJ685" i="99"/>
  <c r="AR685" i="99"/>
  <c r="AZ685" i="99"/>
  <c r="BH685" i="99"/>
  <c r="BP685" i="99"/>
  <c r="BX685" i="99"/>
  <c r="CF685" i="99"/>
  <c r="CN685" i="99"/>
  <c r="CV685" i="99"/>
  <c r="DD685" i="99"/>
  <c r="DL685" i="99"/>
  <c r="DT685" i="99"/>
  <c r="EB685" i="99"/>
  <c r="EJ685" i="99"/>
  <c r="ER685" i="99"/>
  <c r="EZ685" i="99"/>
  <c r="FH685" i="99"/>
  <c r="FP685" i="99"/>
  <c r="FX685" i="99"/>
  <c r="GF685" i="99"/>
  <c r="GN685" i="99"/>
  <c r="GV685" i="99"/>
  <c r="HD685" i="99"/>
  <c r="HL685" i="99"/>
  <c r="HT685" i="99"/>
  <c r="IB685" i="99"/>
  <c r="IJ685" i="99"/>
  <c r="IR685" i="99"/>
  <c r="IZ685" i="99"/>
  <c r="JH685" i="99"/>
  <c r="JP685" i="99"/>
  <c r="JX685" i="99"/>
  <c r="KF685" i="99"/>
  <c r="KN685" i="99"/>
  <c r="KV685" i="99"/>
  <c r="LD685" i="99"/>
  <c r="LL685" i="99"/>
  <c r="LT685" i="99"/>
  <c r="MB685" i="99"/>
  <c r="MJ685" i="99"/>
  <c r="MR685" i="99"/>
  <c r="AD686" i="99"/>
  <c r="AP686" i="99"/>
  <c r="AZ686" i="99"/>
  <c r="BJ686" i="99"/>
  <c r="BW686" i="99"/>
  <c r="CK686" i="99"/>
  <c r="CW686" i="99"/>
  <c r="DJ686" i="99"/>
  <c r="DZ686" i="99"/>
  <c r="EP686" i="99"/>
  <c r="FF686" i="99"/>
  <c r="GG686" i="99"/>
  <c r="HM686" i="99"/>
  <c r="IS686" i="99"/>
  <c r="JY686" i="99"/>
  <c r="LR686" i="99"/>
  <c r="AC685" i="99"/>
  <c r="AK685" i="99"/>
  <c r="AS685" i="99"/>
  <c r="BA685" i="99"/>
  <c r="BI685" i="99"/>
  <c r="BQ685" i="99"/>
  <c r="BY685" i="99"/>
  <c r="CG685" i="99"/>
  <c r="CO685" i="99"/>
  <c r="CW685" i="99"/>
  <c r="DE685" i="99"/>
  <c r="DM685" i="99"/>
  <c r="DU685" i="99"/>
  <c r="EC685" i="99"/>
  <c r="EK685" i="99"/>
  <c r="ES685" i="99"/>
  <c r="FA685" i="99"/>
  <c r="FI685" i="99"/>
  <c r="FQ685" i="99"/>
  <c r="FY685" i="99"/>
  <c r="GG685" i="99"/>
  <c r="GO685" i="99"/>
  <c r="GW685" i="99"/>
  <c r="HE685" i="99"/>
  <c r="HM685" i="99"/>
  <c r="HU685" i="99"/>
  <c r="IC685" i="99"/>
  <c r="IK685" i="99"/>
  <c r="IS685" i="99"/>
  <c r="JA685" i="99"/>
  <c r="JI685" i="99"/>
  <c r="JQ685" i="99"/>
  <c r="JY685" i="99"/>
  <c r="KG685" i="99"/>
  <c r="KO685" i="99"/>
  <c r="KW685" i="99"/>
  <c r="LE685" i="99"/>
  <c r="LM685" i="99"/>
  <c r="LU685" i="99"/>
  <c r="MC685" i="99"/>
  <c r="MK685" i="99"/>
  <c r="MS685" i="99"/>
  <c r="AG686" i="99"/>
  <c r="AQ686" i="99"/>
  <c r="BA686" i="99"/>
  <c r="BM686" i="99"/>
  <c r="BY686" i="99"/>
  <c r="CL686" i="99"/>
  <c r="CX686" i="99"/>
  <c r="DK686" i="99"/>
  <c r="EA686" i="99"/>
  <c r="EQ686" i="99"/>
  <c r="FI686" i="99"/>
  <c r="GL686" i="99"/>
  <c r="HR686" i="99"/>
  <c r="IX686" i="99"/>
  <c r="KD686" i="99"/>
  <c r="LZ686" i="99"/>
  <c r="AD685" i="99"/>
  <c r="AL685" i="99"/>
  <c r="AT685" i="99"/>
  <c r="BB685" i="99"/>
  <c r="BJ685" i="99"/>
  <c r="BR685" i="99"/>
  <c r="BZ685" i="99"/>
  <c r="CH685" i="99"/>
  <c r="CP685" i="99"/>
  <c r="CX685" i="99"/>
  <c r="DF685" i="99"/>
  <c r="DN685" i="99"/>
  <c r="DV685" i="99"/>
  <c r="ED685" i="99"/>
  <c r="EL685" i="99"/>
  <c r="ET685" i="99"/>
  <c r="FB685" i="99"/>
  <c r="FJ685" i="99"/>
  <c r="FR685" i="99"/>
  <c r="FZ685" i="99"/>
  <c r="GH685" i="99"/>
  <c r="GP685" i="99"/>
  <c r="GX685" i="99"/>
  <c r="HF685" i="99"/>
  <c r="HN685" i="99"/>
  <c r="HV685" i="99"/>
  <c r="ID685" i="99"/>
  <c r="IL685" i="99"/>
  <c r="IT685" i="99"/>
  <c r="JB685" i="99"/>
  <c r="JJ685" i="99"/>
  <c r="JR685" i="99"/>
  <c r="JZ685" i="99"/>
  <c r="KH685" i="99"/>
  <c r="KP685" i="99"/>
  <c r="KX685" i="99"/>
  <c r="LF685" i="99"/>
  <c r="LN685" i="99"/>
  <c r="LV685" i="99"/>
  <c r="MD685" i="99"/>
  <c r="ML685" i="99"/>
  <c r="MT685" i="99"/>
  <c r="AH686" i="99"/>
  <c r="AR686" i="99"/>
  <c r="BB686" i="99"/>
  <c r="BN686" i="99"/>
  <c r="BZ686" i="99"/>
  <c r="CM686" i="99"/>
  <c r="DA686" i="99"/>
  <c r="DM686" i="99"/>
  <c r="EC686" i="99"/>
  <c r="ES686" i="99"/>
  <c r="FJ686" i="99"/>
  <c r="GO686" i="99"/>
  <c r="HU686" i="99"/>
  <c r="JA686" i="99"/>
  <c r="KG686" i="99"/>
  <c r="MH686" i="99"/>
  <c r="AE685" i="99"/>
  <c r="AM685" i="99"/>
  <c r="AU685" i="99"/>
  <c r="BC685" i="99"/>
  <c r="BK685" i="99"/>
  <c r="BS685" i="99"/>
  <c r="CA685" i="99"/>
  <c r="CI685" i="99"/>
  <c r="CQ685" i="99"/>
  <c r="CY685" i="99"/>
  <c r="DG685" i="99"/>
  <c r="DO685" i="99"/>
  <c r="DW685" i="99"/>
  <c r="EE685" i="99"/>
  <c r="EM685" i="99"/>
  <c r="EU685" i="99"/>
  <c r="FC685" i="99"/>
  <c r="FK685" i="99"/>
  <c r="FS685" i="99"/>
  <c r="GA685" i="99"/>
  <c r="GI685" i="99"/>
  <c r="GQ685" i="99"/>
  <c r="GY685" i="99"/>
  <c r="HG685" i="99"/>
  <c r="HO685" i="99"/>
  <c r="HW685" i="99"/>
  <c r="IE685" i="99"/>
  <c r="IM685" i="99"/>
  <c r="IU685" i="99"/>
  <c r="JC685" i="99"/>
  <c r="JK685" i="99"/>
  <c r="JS685" i="99"/>
  <c r="KA685" i="99"/>
  <c r="KI685" i="99"/>
  <c r="KQ685" i="99"/>
  <c r="KY685" i="99"/>
  <c r="LO685" i="99"/>
  <c r="LW685" i="99"/>
  <c r="ME685" i="99"/>
  <c r="Y686" i="99"/>
  <c r="AI686" i="99"/>
  <c r="AS686" i="99"/>
  <c r="BE686" i="99"/>
  <c r="BO686" i="99"/>
  <c r="CC686" i="99"/>
  <c r="CO686" i="99"/>
  <c r="DB686" i="99"/>
  <c r="DN686" i="99"/>
  <c r="ED686" i="99"/>
  <c r="ET686" i="99"/>
  <c r="FN686" i="99"/>
  <c r="GT686" i="99"/>
  <c r="HZ686" i="99"/>
  <c r="JF686" i="99"/>
  <c r="KL686" i="99"/>
  <c r="MP686" i="99"/>
  <c r="LI686" i="99"/>
  <c r="LK686" i="99"/>
  <c r="LG686" i="99"/>
  <c r="L836" i="99"/>
  <c r="H850" i="99"/>
  <c r="I850" i="99"/>
  <c r="L845" i="99"/>
  <c r="K823" i="99"/>
  <c r="I1171" i="99"/>
  <c r="F1171" i="99"/>
  <c r="J1171" i="99"/>
  <c r="H1171" i="99"/>
  <c r="P1556" i="99"/>
  <c r="L1918" i="99"/>
  <c r="AH1542" i="99"/>
  <c r="AD1542" i="99"/>
  <c r="AH1550" i="99"/>
  <c r="AF1550" i="99"/>
  <c r="N1449" i="99"/>
  <c r="L1839" i="99"/>
  <c r="R917" i="99"/>
  <c r="R918" i="99"/>
  <c r="G402" i="99"/>
  <c r="S445" i="99"/>
  <c r="S146" i="78"/>
  <c r="J437" i="99"/>
  <c r="F124" i="78"/>
  <c r="G437" i="99"/>
  <c r="A437" i="99" s="1"/>
  <c r="F1522" i="99" s="1"/>
  <c r="F122" i="78"/>
  <c r="F125" i="78"/>
  <c r="D16" i="86"/>
  <c r="H16" i="86"/>
  <c r="E16" i="86"/>
  <c r="I16" i="86"/>
  <c r="C36" i="86"/>
  <c r="F16" i="86"/>
  <c r="G396" i="99"/>
  <c r="J396" i="99"/>
  <c r="J383" i="99"/>
  <c r="G383" i="99"/>
  <c r="J146" i="78"/>
  <c r="J162" i="78" s="1"/>
  <c r="E3" i="86" s="1"/>
  <c r="G146" i="78"/>
  <c r="C18" i="84" s="1"/>
  <c r="G328" i="99"/>
  <c r="J328" i="99"/>
  <c r="D44" i="74"/>
  <c r="D939" i="99" s="1"/>
  <c r="F84" i="92"/>
  <c r="C959" i="99"/>
  <c r="G34" i="86"/>
  <c r="I32" i="74"/>
  <c r="D64" i="74"/>
  <c r="F32" i="74"/>
  <c r="J32" i="74"/>
  <c r="E64" i="74"/>
  <c r="G32" i="74"/>
  <c r="K32" i="74"/>
  <c r="B64" i="74"/>
  <c r="F64" i="74"/>
  <c r="P287" i="99"/>
  <c r="H32" i="74"/>
  <c r="A22" i="83"/>
  <c r="F440" i="99" l="1"/>
  <c r="B21" i="74"/>
  <c r="C21" i="74" s="1"/>
  <c r="C916" i="99" s="1"/>
  <c r="S456" i="99"/>
  <c r="KI687" i="99"/>
  <c r="L769" i="99" s="1"/>
  <c r="BK687" i="99"/>
  <c r="O702" i="99" s="1"/>
  <c r="KA687" i="99"/>
  <c r="N768" i="99" s="1"/>
  <c r="IU687" i="99"/>
  <c r="L781" i="99" s="1"/>
  <c r="IR687" i="99"/>
  <c r="N780" i="99" s="1"/>
  <c r="LD687" i="99"/>
  <c r="M773" i="99" s="1"/>
  <c r="N51" i="68"/>
  <c r="P95" i="75"/>
  <c r="M125" i="75"/>
  <c r="P97" i="75"/>
  <c r="B346" i="91"/>
  <c r="K111" i="75"/>
  <c r="E349" i="99"/>
  <c r="O148" i="75"/>
  <c r="K53" i="98" s="1"/>
  <c r="O111" i="75"/>
  <c r="P111" i="75" s="1"/>
  <c r="P98" i="75"/>
  <c r="ME687" i="99"/>
  <c r="AE687" i="99"/>
  <c r="M695" i="99" s="1"/>
  <c r="MM687" i="99"/>
  <c r="DW687" i="99"/>
  <c r="N743" i="99" s="1"/>
  <c r="MJ687" i="99"/>
  <c r="P157" i="75"/>
  <c r="L152" i="75"/>
  <c r="K64" i="98" s="1"/>
  <c r="N64" i="98" s="1"/>
  <c r="E27" i="95"/>
  <c r="P109" i="75"/>
  <c r="L118" i="75"/>
  <c r="N118" i="75"/>
  <c r="L147" i="75"/>
  <c r="F50" i="98" s="1"/>
  <c r="P92" i="72"/>
  <c r="P1583" i="99" s="1"/>
  <c r="O92" i="72"/>
  <c r="O1583" i="99" s="1"/>
  <c r="P113" i="75"/>
  <c r="JC687" i="99"/>
  <c r="O778" i="99" s="1"/>
  <c r="MQ687" i="99"/>
  <c r="K164" i="75"/>
  <c r="L125" i="75"/>
  <c r="M100" i="75"/>
  <c r="H57" i="98"/>
  <c r="M148" i="75"/>
  <c r="K51" i="98" s="1"/>
  <c r="P133" i="75"/>
  <c r="L148" i="75"/>
  <c r="K50" i="98" s="1"/>
  <c r="DT687" i="99"/>
  <c r="K743" i="99" s="1"/>
  <c r="CQ687" i="99"/>
  <c r="L731" i="99" s="1"/>
  <c r="JH687" i="99"/>
  <c r="O779" i="99" s="1"/>
  <c r="FC687" i="99"/>
  <c r="K799" i="99" s="1"/>
  <c r="CN687" i="99"/>
  <c r="N732" i="99" s="1"/>
  <c r="AB687" i="99"/>
  <c r="O694" i="99" s="1"/>
  <c r="EZ687" i="99"/>
  <c r="M798" i="99" s="1"/>
  <c r="HL687" i="99"/>
  <c r="L757" i="99" s="1"/>
  <c r="KN687" i="99"/>
  <c r="L770" i="99" s="1"/>
  <c r="M57" i="98"/>
  <c r="O1751" i="99"/>
  <c r="Y47" i="72"/>
  <c r="X47" i="72"/>
  <c r="P108" i="75"/>
  <c r="F37" i="78"/>
  <c r="GI687" i="99"/>
  <c r="M751" i="99" s="1"/>
  <c r="HO687" i="99"/>
  <c r="O757" i="99" s="1"/>
  <c r="P456" i="99"/>
  <c r="P472" i="99" s="1"/>
  <c r="P474" i="99" s="1"/>
  <c r="P476" i="99" s="1"/>
  <c r="JX687" i="99"/>
  <c r="K768" i="99" s="1"/>
  <c r="K38" i="93"/>
  <c r="N63" i="75"/>
  <c r="P241" i="75"/>
  <c r="N127" i="75"/>
  <c r="N154" i="75"/>
  <c r="K73" i="98" s="1"/>
  <c r="M73" i="98" s="1"/>
  <c r="L154" i="75"/>
  <c r="K71" i="98" s="1"/>
  <c r="K121" i="75"/>
  <c r="P121" i="75" s="1"/>
  <c r="BH687" i="99"/>
  <c r="L702" i="99" s="1"/>
  <c r="GF687" i="99"/>
  <c r="O805" i="99" s="1"/>
  <c r="IB687" i="99"/>
  <c r="KY687" i="99"/>
  <c r="M771" i="99" s="1"/>
  <c r="F441" i="99"/>
  <c r="B555" i="91"/>
  <c r="P139" i="75"/>
  <c r="P56" i="75"/>
  <c r="N153" i="75"/>
  <c r="F73" i="98" s="1"/>
  <c r="M153" i="75"/>
  <c r="F72" i="98" s="1"/>
  <c r="H72" i="98" s="1"/>
  <c r="L153" i="75"/>
  <c r="F71" i="98" s="1"/>
  <c r="H71" i="98" s="1"/>
  <c r="LG687" i="99"/>
  <c r="A687" i="99"/>
  <c r="A644" i="99" s="1"/>
  <c r="P159" i="75"/>
  <c r="Q159" i="75" s="1"/>
  <c r="LS687" i="99"/>
  <c r="IY687" i="99"/>
  <c r="K778" i="99" s="1"/>
  <c r="GM687" i="99"/>
  <c r="L752" i="99" s="1"/>
  <c r="EA687" i="99"/>
  <c r="M742" i="99" s="1"/>
  <c r="BO687" i="99"/>
  <c r="N737" i="99" s="1"/>
  <c r="MP687" i="99"/>
  <c r="KD687" i="99"/>
  <c r="L767" i="99" s="1"/>
  <c r="HR687" i="99"/>
  <c r="M758" i="99" s="1"/>
  <c r="FF687" i="99"/>
  <c r="N799" i="99" s="1"/>
  <c r="CT687" i="99"/>
  <c r="O731" i="99" s="1"/>
  <c r="AH687" i="99"/>
  <c r="K696" i="99" s="1"/>
  <c r="KS687" i="99"/>
  <c r="L772" i="99" s="1"/>
  <c r="IG687" i="99"/>
  <c r="M774" i="99" s="1"/>
  <c r="FU687" i="99"/>
  <c r="N803" i="99" s="1"/>
  <c r="DI687" i="99"/>
  <c r="O746" i="99" s="1"/>
  <c r="AW687" i="99"/>
  <c r="K699" i="99" s="1"/>
  <c r="KZ687" i="99"/>
  <c r="N771" i="99" s="1"/>
  <c r="IN687" i="99"/>
  <c r="O775" i="99" s="1"/>
  <c r="GB687" i="99"/>
  <c r="K805" i="99" s="1"/>
  <c r="DP687" i="99"/>
  <c r="L744" i="99" s="1"/>
  <c r="BD687" i="99"/>
  <c r="M700" i="99" s="1"/>
  <c r="LV687" i="99"/>
  <c r="JJ687" i="99"/>
  <c r="L776" i="99" s="1"/>
  <c r="L787" i="99" s="1"/>
  <c r="GX687" i="99"/>
  <c r="M754" i="99" s="1"/>
  <c r="EL687" i="99"/>
  <c r="N795" i="99" s="1"/>
  <c r="BZ687" i="99"/>
  <c r="O735" i="99" s="1"/>
  <c r="KO687" i="99"/>
  <c r="M770" i="99" s="1"/>
  <c r="IC687" i="99"/>
  <c r="FQ687" i="99"/>
  <c r="O801" i="99" s="1"/>
  <c r="DE687" i="99"/>
  <c r="K746" i="99" s="1"/>
  <c r="AS687" i="99"/>
  <c r="L698" i="99" s="1"/>
  <c r="BC687" i="99"/>
  <c r="L700" i="99" s="1"/>
  <c r="MB687" i="99"/>
  <c r="CF687" i="99"/>
  <c r="K733" i="99" s="1"/>
  <c r="LW687" i="99"/>
  <c r="CA687" i="99"/>
  <c r="K734" i="99" s="1"/>
  <c r="O1628" i="99"/>
  <c r="I1619" i="99" s="1"/>
  <c r="I128" i="72"/>
  <c r="GV687" i="99"/>
  <c r="K754" i="99" s="1"/>
  <c r="CY687" i="99"/>
  <c r="O748" i="99" s="1"/>
  <c r="IZ687" i="99"/>
  <c r="L778" i="99" s="1"/>
  <c r="LK687" i="99"/>
  <c r="E351" i="99"/>
  <c r="G347" i="99" s="1"/>
  <c r="J986" i="99"/>
  <c r="J993" i="99" s="1"/>
  <c r="E38" i="87"/>
  <c r="J98" i="74"/>
  <c r="AE1533" i="99"/>
  <c r="AD1533" i="99"/>
  <c r="B986" i="99"/>
  <c r="B993" i="99" s="1"/>
  <c r="E30" i="87"/>
  <c r="B98" i="74"/>
  <c r="C921" i="99"/>
  <c r="C45" i="82"/>
  <c r="B11" i="87"/>
  <c r="E953" i="99"/>
  <c r="E65" i="82"/>
  <c r="B23" i="87"/>
  <c r="B1015" i="99"/>
  <c r="B40" i="87"/>
  <c r="J985" i="99"/>
  <c r="B38" i="87"/>
  <c r="I954" i="99"/>
  <c r="I962" i="99" s="1"/>
  <c r="I67" i="74"/>
  <c r="E27" i="87"/>
  <c r="C988" i="99"/>
  <c r="C995" i="99" s="1"/>
  <c r="K31" i="87"/>
  <c r="C100" i="74"/>
  <c r="E956" i="99"/>
  <c r="E964" i="99" s="1"/>
  <c r="E69" i="74"/>
  <c r="K23" i="87"/>
  <c r="B924" i="99"/>
  <c r="B932" i="99" s="1"/>
  <c r="B37" i="74"/>
  <c r="K10" i="87"/>
  <c r="K35" i="93"/>
  <c r="G987" i="99"/>
  <c r="G994" i="99" s="1"/>
  <c r="H35" i="87"/>
  <c r="G99" i="74"/>
  <c r="D1017" i="99"/>
  <c r="D1024" i="99" s="1"/>
  <c r="H42" i="87"/>
  <c r="D129" i="74"/>
  <c r="B987" i="99"/>
  <c r="B994" i="99" s="1"/>
  <c r="H30" i="87"/>
  <c r="B99" i="74"/>
  <c r="K987" i="99"/>
  <c r="K994" i="99" s="1"/>
  <c r="K99" i="74"/>
  <c r="H39" i="87"/>
  <c r="B956" i="99"/>
  <c r="B69" i="74"/>
  <c r="K20" i="87"/>
  <c r="J661" i="99"/>
  <c r="L661" i="99" s="1"/>
  <c r="M661" i="99" s="1"/>
  <c r="L23" i="75"/>
  <c r="M23" i="75" s="1"/>
  <c r="C986" i="99"/>
  <c r="C993" i="99" s="1"/>
  <c r="C98" i="74"/>
  <c r="E31" i="87"/>
  <c r="C1016" i="99"/>
  <c r="C1023" i="99" s="1"/>
  <c r="C128" i="74"/>
  <c r="E41" i="87"/>
  <c r="F986" i="99"/>
  <c r="F993" i="99" s="1"/>
  <c r="E34" i="87"/>
  <c r="F98" i="74"/>
  <c r="P153" i="75"/>
  <c r="F70" i="98"/>
  <c r="J29" i="95"/>
  <c r="Q161" i="75"/>
  <c r="AD420" i="99"/>
  <c r="AF420" i="99" s="1"/>
  <c r="AD110" i="78"/>
  <c r="AF110" i="78" s="1"/>
  <c r="J28" i="95"/>
  <c r="Q160" i="75"/>
  <c r="N67" i="98"/>
  <c r="M67" i="98"/>
  <c r="LC687" i="99"/>
  <c r="L773" i="99" s="1"/>
  <c r="L792" i="99" s="1"/>
  <c r="IQ687" i="99"/>
  <c r="M780" i="99" s="1"/>
  <c r="GE687" i="99"/>
  <c r="N805" i="99" s="1"/>
  <c r="DS687" i="99"/>
  <c r="O744" i="99" s="1"/>
  <c r="BG687" i="99"/>
  <c r="K702" i="99" s="1"/>
  <c r="MH687" i="99"/>
  <c r="JV687" i="99"/>
  <c r="N766" i="99" s="1"/>
  <c r="HJ687" i="99"/>
  <c r="EX687" i="99"/>
  <c r="K798" i="99" s="1"/>
  <c r="CL687" i="99"/>
  <c r="L732" i="99" s="1"/>
  <c r="Z687" i="99"/>
  <c r="M694" i="99" s="1"/>
  <c r="KK687" i="99"/>
  <c r="N769" i="99" s="1"/>
  <c r="HY687" i="99"/>
  <c r="FM687" i="99"/>
  <c r="K801" i="99" s="1"/>
  <c r="DA687" i="99"/>
  <c r="L747" i="99" s="1"/>
  <c r="AO687" i="99"/>
  <c r="M697" i="99" s="1"/>
  <c r="KR687" i="99"/>
  <c r="K772" i="99" s="1"/>
  <c r="IF687" i="99"/>
  <c r="L774" i="99" s="1"/>
  <c r="FT687" i="99"/>
  <c r="M803" i="99" s="1"/>
  <c r="DH687" i="99"/>
  <c r="N746" i="99" s="1"/>
  <c r="AV687" i="99"/>
  <c r="O698" i="99" s="1"/>
  <c r="LN687" i="99"/>
  <c r="JB687" i="99"/>
  <c r="N778" i="99" s="1"/>
  <c r="GP687" i="99"/>
  <c r="O752" i="99" s="1"/>
  <c r="ED687" i="99"/>
  <c r="K704" i="99" s="1"/>
  <c r="BR687" i="99"/>
  <c r="L736" i="99" s="1"/>
  <c r="MS687" i="99"/>
  <c r="KG687" i="99"/>
  <c r="O767" i="99" s="1"/>
  <c r="HU687" i="99"/>
  <c r="FI687" i="99"/>
  <c r="L800" i="99" s="1"/>
  <c r="CW687" i="99"/>
  <c r="M748" i="99" s="1"/>
  <c r="AK687" i="99"/>
  <c r="N696" i="99" s="1"/>
  <c r="JS687" i="99"/>
  <c r="K766" i="99" s="1"/>
  <c r="KV687" i="99"/>
  <c r="O772" i="99" s="1"/>
  <c r="AZ687" i="99"/>
  <c r="N699" i="99" s="1"/>
  <c r="KQ687" i="99"/>
  <c r="O770" i="99" s="1"/>
  <c r="AU687" i="99"/>
  <c r="N698" i="99" s="1"/>
  <c r="O1603" i="99"/>
  <c r="L113" i="72"/>
  <c r="G67" i="98"/>
  <c r="L67" i="98" s="1"/>
  <c r="G60" i="98"/>
  <c r="L60" i="98" s="1"/>
  <c r="G59" i="98"/>
  <c r="L59" i="98" s="1"/>
  <c r="G58" i="98"/>
  <c r="L58" i="98" s="1"/>
  <c r="G57" i="98"/>
  <c r="L57" i="98" s="1"/>
  <c r="G56" i="98"/>
  <c r="L56" i="98" s="1"/>
  <c r="G66" i="98"/>
  <c r="L66" i="98" s="1"/>
  <c r="G65" i="98"/>
  <c r="L65" i="98" s="1"/>
  <c r="G64" i="98"/>
  <c r="L64" i="98" s="1"/>
  <c r="Y38" i="72"/>
  <c r="G74" i="98"/>
  <c r="L74" i="98" s="1"/>
  <c r="G73" i="98"/>
  <c r="L73" i="98" s="1"/>
  <c r="G72" i="98"/>
  <c r="P66" i="98"/>
  <c r="X38" i="72"/>
  <c r="E14" i="72"/>
  <c r="G71" i="98"/>
  <c r="G70" i="98"/>
  <c r="L70" i="98" s="1"/>
  <c r="G63" i="98"/>
  <c r="L63" i="98" s="1"/>
  <c r="G53" i="98"/>
  <c r="L53" i="98" s="1"/>
  <c r="G52" i="98"/>
  <c r="L52" i="98" s="1"/>
  <c r="G51" i="98"/>
  <c r="L51" i="98" s="1"/>
  <c r="G50" i="98"/>
  <c r="L50" i="98" s="1"/>
  <c r="G49" i="98"/>
  <c r="L49" i="98" s="1"/>
  <c r="FP687" i="99"/>
  <c r="N801" i="99" s="1"/>
  <c r="K33" i="84"/>
  <c r="K29" i="84"/>
  <c r="K26" i="84"/>
  <c r="C36" i="84"/>
  <c r="LO687" i="99"/>
  <c r="BS687" i="99"/>
  <c r="M736" i="99" s="1"/>
  <c r="HT687" i="99"/>
  <c r="O758" i="99" s="1"/>
  <c r="F955" i="99"/>
  <c r="F963" i="99" s="1"/>
  <c r="H24" i="87"/>
  <c r="F68" i="74"/>
  <c r="D924" i="99"/>
  <c r="D932" i="99" s="1"/>
  <c r="D37" i="74"/>
  <c r="K12" i="87"/>
  <c r="K956" i="99"/>
  <c r="K964" i="99" s="1"/>
  <c r="K69" i="74"/>
  <c r="K29" i="87"/>
  <c r="AI1541" i="99"/>
  <c r="AD1541" i="99"/>
  <c r="AH1541" i="99"/>
  <c r="AG1541" i="99"/>
  <c r="F985" i="99"/>
  <c r="B34" i="87"/>
  <c r="G921" i="99"/>
  <c r="G45" i="82"/>
  <c r="B15" i="87"/>
  <c r="D1015" i="99"/>
  <c r="B42" i="87"/>
  <c r="B953" i="99"/>
  <c r="B20" i="87"/>
  <c r="B65" i="82"/>
  <c r="K988" i="99"/>
  <c r="K995" i="99" s="1"/>
  <c r="K39" i="87"/>
  <c r="K100" i="74"/>
  <c r="F988" i="99"/>
  <c r="F995" i="99" s="1"/>
  <c r="F100" i="74"/>
  <c r="K34" i="87"/>
  <c r="J924" i="99"/>
  <c r="J932" i="99" s="1"/>
  <c r="J37" i="74"/>
  <c r="K18" i="87"/>
  <c r="K37" i="93"/>
  <c r="C985" i="99"/>
  <c r="B31" i="87"/>
  <c r="I923" i="99"/>
  <c r="I931" i="99" s="1"/>
  <c r="I36" i="74"/>
  <c r="H17" i="87"/>
  <c r="J987" i="99"/>
  <c r="J994" i="99" s="1"/>
  <c r="H38" i="87"/>
  <c r="J99" i="74"/>
  <c r="D923" i="99"/>
  <c r="D931" i="99" s="1"/>
  <c r="H12" i="87"/>
  <c r="D36" i="74"/>
  <c r="K68" i="84"/>
  <c r="I68" i="84"/>
  <c r="G68" i="84"/>
  <c r="E68" i="84"/>
  <c r="G954" i="99"/>
  <c r="G962" i="99" s="1"/>
  <c r="G67" i="74"/>
  <c r="E25" i="87"/>
  <c r="K986" i="99"/>
  <c r="K993" i="99" s="1"/>
  <c r="K98" i="74"/>
  <c r="E39" i="87"/>
  <c r="D922" i="99"/>
  <c r="D930" i="99" s="1"/>
  <c r="E12" i="87"/>
  <c r="D35" i="74"/>
  <c r="E1016" i="99"/>
  <c r="E1023" i="99" s="1"/>
  <c r="E43" i="87"/>
  <c r="E128" i="74"/>
  <c r="H32" i="95"/>
  <c r="N65" i="75"/>
  <c r="N67" i="75" s="1"/>
  <c r="I66" i="98"/>
  <c r="H66" i="98"/>
  <c r="G32" i="95"/>
  <c r="M65" i="75"/>
  <c r="M67" i="75" s="1"/>
  <c r="I51" i="98"/>
  <c r="H51" i="98"/>
  <c r="J25" i="95"/>
  <c r="Q157" i="75"/>
  <c r="F63" i="98"/>
  <c r="P151" i="75"/>
  <c r="KU687" i="99"/>
  <c r="N772" i="99" s="1"/>
  <c r="N791" i="99" s="1"/>
  <c r="II687" i="99"/>
  <c r="O774" i="99" s="1"/>
  <c r="FW687" i="99"/>
  <c r="DK687" i="99"/>
  <c r="L745" i="99" s="1"/>
  <c r="AY687" i="99"/>
  <c r="M699" i="99" s="1"/>
  <c r="LZ687" i="99"/>
  <c r="JN687" i="99"/>
  <c r="K777" i="99" s="1"/>
  <c r="HB687" i="99"/>
  <c r="L755" i="99" s="1"/>
  <c r="EP687" i="99"/>
  <c r="M796" i="99" s="1"/>
  <c r="CD687" i="99"/>
  <c r="N734" i="99" s="1"/>
  <c r="MO687" i="99"/>
  <c r="KC687" i="99"/>
  <c r="K767" i="99" s="1"/>
  <c r="HQ687" i="99"/>
  <c r="L758" i="99" s="1"/>
  <c r="FE687" i="99"/>
  <c r="M799" i="99" s="1"/>
  <c r="CS687" i="99"/>
  <c r="N731" i="99" s="1"/>
  <c r="AG687" i="99"/>
  <c r="O695" i="99" s="1"/>
  <c r="KJ687" i="99"/>
  <c r="M769" i="99" s="1"/>
  <c r="M792" i="99" s="1"/>
  <c r="HX687" i="99"/>
  <c r="FL687" i="99"/>
  <c r="O800" i="99" s="1"/>
  <c r="CZ687" i="99"/>
  <c r="K747" i="99" s="1"/>
  <c r="AN687" i="99"/>
  <c r="L697" i="99" s="1"/>
  <c r="LF687" i="99"/>
  <c r="O773" i="99" s="1"/>
  <c r="IT687" i="99"/>
  <c r="K781" i="99" s="1"/>
  <c r="GH687" i="99"/>
  <c r="L751" i="99" s="1"/>
  <c r="DV687" i="99"/>
  <c r="M743" i="99" s="1"/>
  <c r="BJ687" i="99"/>
  <c r="N702" i="99" s="1"/>
  <c r="MK687" i="99"/>
  <c r="JY687" i="99"/>
  <c r="L768" i="99" s="1"/>
  <c r="L791" i="99" s="1"/>
  <c r="HM687" i="99"/>
  <c r="M757" i="99" s="1"/>
  <c r="FA687" i="99"/>
  <c r="N798" i="99" s="1"/>
  <c r="CO687" i="99"/>
  <c r="O732" i="99" s="1"/>
  <c r="AC687" i="99"/>
  <c r="K695" i="99" s="1"/>
  <c r="IM687" i="99"/>
  <c r="N775" i="99" s="1"/>
  <c r="JP687" i="99"/>
  <c r="M777" i="99" s="1"/>
  <c r="M788" i="99" s="1"/>
  <c r="JK687" i="99"/>
  <c r="M776" i="99" s="1"/>
  <c r="M787" i="99" s="1"/>
  <c r="D24" i="74"/>
  <c r="D919" i="99" s="1"/>
  <c r="D22" i="74"/>
  <c r="E14" i="74"/>
  <c r="EJ687" i="99"/>
  <c r="L795" i="99" s="1"/>
  <c r="AM687" i="99"/>
  <c r="K697" i="99" s="1"/>
  <c r="GN687" i="99"/>
  <c r="M752" i="99" s="1"/>
  <c r="K953" i="99"/>
  <c r="K65" i="82"/>
  <c r="B29" i="87"/>
  <c r="K921" i="99"/>
  <c r="K45" i="82"/>
  <c r="B19" i="87"/>
  <c r="D955" i="99"/>
  <c r="D963" i="99" s="1"/>
  <c r="H22" i="87"/>
  <c r="D68" i="74"/>
  <c r="E921" i="99"/>
  <c r="B13" i="87"/>
  <c r="E45" i="82"/>
  <c r="H953" i="99"/>
  <c r="B26" i="87"/>
  <c r="H65" i="82"/>
  <c r="D926" i="99"/>
  <c r="E31" i="74"/>
  <c r="D53" i="82"/>
  <c r="D1018" i="99"/>
  <c r="D1025" i="99" s="1"/>
  <c r="D130" i="74"/>
  <c r="K42" i="87"/>
  <c r="H924" i="99"/>
  <c r="H932" i="99" s="1"/>
  <c r="H37" i="74"/>
  <c r="K16" i="87"/>
  <c r="H956" i="99"/>
  <c r="H964" i="99" s="1"/>
  <c r="K26" i="87"/>
  <c r="H69" i="74"/>
  <c r="K39" i="93"/>
  <c r="K40" i="93"/>
  <c r="K51" i="93"/>
  <c r="H954" i="99"/>
  <c r="H962" i="99" s="1"/>
  <c r="E26" i="87"/>
  <c r="H67" i="74"/>
  <c r="J656" i="99"/>
  <c r="L656" i="99" s="1"/>
  <c r="M656" i="99" s="1"/>
  <c r="L18" i="75"/>
  <c r="M18" i="75" s="1"/>
  <c r="H955" i="99"/>
  <c r="H963" i="99" s="1"/>
  <c r="H26" i="87"/>
  <c r="H68" i="74"/>
  <c r="F1017" i="99"/>
  <c r="F1024" i="99" s="1"/>
  <c r="H44" i="87"/>
  <c r="F129" i="74"/>
  <c r="C955" i="99"/>
  <c r="C963" i="99" s="1"/>
  <c r="H21" i="87"/>
  <c r="C68" i="74"/>
  <c r="K924" i="99"/>
  <c r="K932" i="99" s="1"/>
  <c r="K19" i="87"/>
  <c r="K37" i="74"/>
  <c r="B1016" i="99"/>
  <c r="B1023" i="99" s="1"/>
  <c r="E40" i="87"/>
  <c r="B128" i="74"/>
  <c r="D954" i="99"/>
  <c r="D962" i="99" s="1"/>
  <c r="E22" i="87"/>
  <c r="D67" i="74"/>
  <c r="F922" i="99"/>
  <c r="F930" i="99" s="1"/>
  <c r="E14" i="87"/>
  <c r="F35" i="74"/>
  <c r="E1018" i="99"/>
  <c r="E1025" i="99" s="1"/>
  <c r="K43" i="87"/>
  <c r="E130" i="74"/>
  <c r="AD419" i="99"/>
  <c r="AD109" i="78"/>
  <c r="AF109" i="78" s="1"/>
  <c r="P127" i="75"/>
  <c r="P115" i="75"/>
  <c r="AT48" i="72" s="1"/>
  <c r="F56" i="89"/>
  <c r="D37" i="90" s="1"/>
  <c r="Q167" i="75"/>
  <c r="KM687" i="99"/>
  <c r="K770" i="99" s="1"/>
  <c r="IA687" i="99"/>
  <c r="FO687" i="99"/>
  <c r="M801" i="99" s="1"/>
  <c r="DC687" i="99"/>
  <c r="N747" i="99" s="1"/>
  <c r="AQ687" i="99"/>
  <c r="O697" i="99" s="1"/>
  <c r="LR687" i="99"/>
  <c r="JF687" i="99"/>
  <c r="M779" i="99" s="1"/>
  <c r="GT687" i="99"/>
  <c r="EH687" i="99"/>
  <c r="O704" i="99" s="1"/>
  <c r="BV687" i="99"/>
  <c r="K735" i="99" s="1"/>
  <c r="MG687" i="99"/>
  <c r="JU687" i="99"/>
  <c r="M766" i="99" s="1"/>
  <c r="HI687" i="99"/>
  <c r="EW687" i="99"/>
  <c r="O797" i="99" s="1"/>
  <c r="CK687" i="99"/>
  <c r="K732" i="99" s="1"/>
  <c r="Y687" i="99"/>
  <c r="L694" i="99" s="1"/>
  <c r="MN687" i="99"/>
  <c r="KB687" i="99"/>
  <c r="O768" i="99" s="1"/>
  <c r="HP687" i="99"/>
  <c r="K758" i="99" s="1"/>
  <c r="FD687" i="99"/>
  <c r="L799" i="99" s="1"/>
  <c r="P799" i="99" s="1"/>
  <c r="CR687" i="99"/>
  <c r="M731" i="99" s="1"/>
  <c r="AF687" i="99"/>
  <c r="N695" i="99" s="1"/>
  <c r="KX687" i="99"/>
  <c r="L771" i="99" s="1"/>
  <c r="IL687" i="99"/>
  <c r="M775" i="99" s="1"/>
  <c r="FZ687" i="99"/>
  <c r="DN687" i="99"/>
  <c r="O745" i="99" s="1"/>
  <c r="BB687" i="99"/>
  <c r="K700" i="99" s="1"/>
  <c r="MC687" i="99"/>
  <c r="JQ687" i="99"/>
  <c r="N777" i="99" s="1"/>
  <c r="N788" i="99" s="1"/>
  <c r="HE687" i="99"/>
  <c r="O755" i="99" s="1"/>
  <c r="ES687" i="99"/>
  <c r="K797" i="99" s="1"/>
  <c r="CG687" i="99"/>
  <c r="L733" i="99" s="1"/>
  <c r="HG687" i="99"/>
  <c r="IJ687" i="99"/>
  <c r="K775" i="99" s="1"/>
  <c r="C917" i="99"/>
  <c r="IE687" i="99"/>
  <c r="K774" i="99" s="1"/>
  <c r="DD687" i="99"/>
  <c r="O747" i="99" s="1"/>
  <c r="FH687" i="99"/>
  <c r="K800" i="99" s="1"/>
  <c r="N866" i="99"/>
  <c r="E955" i="99"/>
  <c r="E963" i="99" s="1"/>
  <c r="E68" i="74"/>
  <c r="H23" i="87"/>
  <c r="D953" i="99"/>
  <c r="B22" i="87"/>
  <c r="D65" i="82"/>
  <c r="P642" i="99"/>
  <c r="O39" i="99"/>
  <c r="P4" i="75"/>
  <c r="D988" i="99"/>
  <c r="D995" i="99" s="1"/>
  <c r="K32" i="87"/>
  <c r="D100" i="74"/>
  <c r="F953" i="99"/>
  <c r="F65" i="82"/>
  <c r="B24" i="87"/>
  <c r="I985" i="99"/>
  <c r="B37" i="87"/>
  <c r="AI1539" i="99"/>
  <c r="AH1539" i="99"/>
  <c r="AD1539" i="99"/>
  <c r="AE1539" i="99"/>
  <c r="AG1539" i="99"/>
  <c r="AF1539" i="99"/>
  <c r="F924" i="99"/>
  <c r="F932" i="99" s="1"/>
  <c r="F37" i="74"/>
  <c r="K14" i="87"/>
  <c r="F956" i="99"/>
  <c r="F964" i="99" s="1"/>
  <c r="K24" i="87"/>
  <c r="F69" i="74"/>
  <c r="I988" i="99"/>
  <c r="I995" i="99" s="1"/>
  <c r="I100" i="74"/>
  <c r="K37" i="87"/>
  <c r="K42" i="93"/>
  <c r="J49" i="96"/>
  <c r="J41" i="96"/>
  <c r="J36" i="96"/>
  <c r="J46" i="96"/>
  <c r="K46" i="96" s="1"/>
  <c r="J38" i="96"/>
  <c r="J51" i="96"/>
  <c r="J43" i="96"/>
  <c r="J33" i="96"/>
  <c r="J48" i="96"/>
  <c r="J40" i="96"/>
  <c r="J35" i="96"/>
  <c r="J45" i="96"/>
  <c r="J37" i="96"/>
  <c r="J50" i="96"/>
  <c r="J42" i="96"/>
  <c r="J47" i="96"/>
  <c r="J39" i="96"/>
  <c r="J44" i="96"/>
  <c r="J34" i="96"/>
  <c r="F987" i="99"/>
  <c r="F994" i="99" s="1"/>
  <c r="H34" i="87"/>
  <c r="F99" i="74"/>
  <c r="I987" i="99"/>
  <c r="I994" i="99" s="1"/>
  <c r="I99" i="74"/>
  <c r="H37" i="87"/>
  <c r="C923" i="99"/>
  <c r="C931" i="99" s="1"/>
  <c r="C36" i="74"/>
  <c r="H11" i="87"/>
  <c r="K955" i="99"/>
  <c r="K963" i="99" s="1"/>
  <c r="H29" i="87"/>
  <c r="K68" i="74"/>
  <c r="H922" i="99"/>
  <c r="H930" i="99" s="1"/>
  <c r="E16" i="87"/>
  <c r="H35" i="74"/>
  <c r="I986" i="99"/>
  <c r="I993" i="99" s="1"/>
  <c r="E37" i="87"/>
  <c r="I98" i="74"/>
  <c r="C922" i="99"/>
  <c r="C930" i="99" s="1"/>
  <c r="C35" i="74"/>
  <c r="E11" i="87"/>
  <c r="E986" i="99"/>
  <c r="E993" i="99" s="1"/>
  <c r="E98" i="74"/>
  <c r="E33" i="87"/>
  <c r="F954" i="99"/>
  <c r="F962" i="99" s="1"/>
  <c r="E24" i="87"/>
  <c r="F67" i="74"/>
  <c r="I32" i="95"/>
  <c r="O65" i="75"/>
  <c r="O67" i="75" s="1"/>
  <c r="I53" i="98"/>
  <c r="H53" i="98"/>
  <c r="J27" i="95"/>
  <c r="K63" i="98"/>
  <c r="P100" i="75"/>
  <c r="Q1509" i="99"/>
  <c r="KE687" i="99"/>
  <c r="M767" i="99" s="1"/>
  <c r="HS687" i="99"/>
  <c r="N758" i="99" s="1"/>
  <c r="FG687" i="99"/>
  <c r="O799" i="99" s="1"/>
  <c r="CU687" i="99"/>
  <c r="K748" i="99" s="1"/>
  <c r="AI687" i="99"/>
  <c r="L696" i="99" s="1"/>
  <c r="LJ687" i="99"/>
  <c r="IX687" i="99"/>
  <c r="O781" i="99" s="1"/>
  <c r="GL687" i="99"/>
  <c r="K752" i="99" s="1"/>
  <c r="DZ687" i="99"/>
  <c r="L742" i="99" s="1"/>
  <c r="BN687" i="99"/>
  <c r="M737" i="99" s="1"/>
  <c r="LY687" i="99"/>
  <c r="JM687" i="99"/>
  <c r="O776" i="99" s="1"/>
  <c r="O787" i="99" s="1"/>
  <c r="HA687" i="99"/>
  <c r="K755" i="99" s="1"/>
  <c r="EO687" i="99"/>
  <c r="L796" i="99" s="1"/>
  <c r="CC687" i="99"/>
  <c r="M734" i="99" s="1"/>
  <c r="MF687" i="99"/>
  <c r="JT687" i="99"/>
  <c r="L766" i="99" s="1"/>
  <c r="HH687" i="99"/>
  <c r="EV687" i="99"/>
  <c r="N797" i="99" s="1"/>
  <c r="CJ687" i="99"/>
  <c r="O733" i="99" s="1"/>
  <c r="X687" i="99"/>
  <c r="K694" i="99" s="1"/>
  <c r="KP687" i="99"/>
  <c r="N770" i="99" s="1"/>
  <c r="ID687" i="99"/>
  <c r="FR687" i="99"/>
  <c r="K803" i="99" s="1"/>
  <c r="DF687" i="99"/>
  <c r="L746" i="99" s="1"/>
  <c r="AT687" i="99"/>
  <c r="M698" i="99" s="1"/>
  <c r="LU687" i="99"/>
  <c r="JI687" i="99"/>
  <c r="K776" i="99" s="1"/>
  <c r="GW687" i="99"/>
  <c r="L754" i="99" s="1"/>
  <c r="EK687" i="99"/>
  <c r="M795" i="99" s="1"/>
  <c r="BY687" i="99"/>
  <c r="N735" i="99" s="1"/>
  <c r="GA687" i="99"/>
  <c r="HD687" i="99"/>
  <c r="N755" i="99" s="1"/>
  <c r="GY687" i="99"/>
  <c r="N754" i="99" s="1"/>
  <c r="G58" i="84"/>
  <c r="G62" i="84" s="1"/>
  <c r="E58" i="84"/>
  <c r="E62" i="84" s="1"/>
  <c r="C62" i="84"/>
  <c r="K58" i="84"/>
  <c r="K62" i="84" s="1"/>
  <c r="I58" i="84"/>
  <c r="I62" i="84" s="1"/>
  <c r="LT687" i="99"/>
  <c r="BX687" i="99"/>
  <c r="M735" i="99" s="1"/>
  <c r="HW687" i="99"/>
  <c r="P1621" i="99"/>
  <c r="K1619" i="99" s="1"/>
  <c r="P112" i="72"/>
  <c r="K128" i="72"/>
  <c r="EB687" i="99"/>
  <c r="N742" i="99" s="1"/>
  <c r="X1528" i="99"/>
  <c r="P1594" i="99"/>
  <c r="Y1528" i="99"/>
  <c r="J953" i="99"/>
  <c r="B28" i="87"/>
  <c r="J65" i="82"/>
  <c r="C924" i="99"/>
  <c r="C932" i="99" s="1"/>
  <c r="K11" i="87"/>
  <c r="C37" i="74"/>
  <c r="R1868" i="99"/>
  <c r="X1545" i="99"/>
  <c r="K985" i="99"/>
  <c r="B39" i="87"/>
  <c r="G985" i="99"/>
  <c r="B35" i="87"/>
  <c r="C1015" i="99"/>
  <c r="B41" i="87"/>
  <c r="E923" i="99"/>
  <c r="E931" i="99" s="1"/>
  <c r="H13" i="87"/>
  <c r="E36" i="74"/>
  <c r="J659" i="99"/>
  <c r="L659" i="99" s="1"/>
  <c r="M659" i="99" s="1"/>
  <c r="M687" i="99" s="1"/>
  <c r="M688" i="99" s="1"/>
  <c r="L21" i="75"/>
  <c r="M21" i="75" s="1"/>
  <c r="D956" i="99"/>
  <c r="D964" i="99" s="1"/>
  <c r="D69" i="74"/>
  <c r="K22" i="87"/>
  <c r="G988" i="99"/>
  <c r="G995" i="99" s="1"/>
  <c r="G100" i="74"/>
  <c r="K35" i="87"/>
  <c r="B1018" i="99"/>
  <c r="B130" i="74"/>
  <c r="R117" i="74"/>
  <c r="S117" i="74" s="1"/>
  <c r="K40" i="87"/>
  <c r="K33" i="93"/>
  <c r="K52" i="93" s="1"/>
  <c r="K54" i="93" s="1"/>
  <c r="K68" i="93" s="1"/>
  <c r="K70" i="93" s="1"/>
  <c r="K47" i="93"/>
  <c r="G44" i="96"/>
  <c r="H44" i="96" s="1"/>
  <c r="G34" i="96"/>
  <c r="H34" i="96" s="1"/>
  <c r="G49" i="96"/>
  <c r="H49" i="96" s="1"/>
  <c r="G41" i="96"/>
  <c r="H41" i="96" s="1"/>
  <c r="G36" i="96"/>
  <c r="H36" i="96" s="1"/>
  <c r="G46" i="96"/>
  <c r="H46" i="96" s="1"/>
  <c r="G38" i="96"/>
  <c r="H38" i="96" s="1"/>
  <c r="G51" i="96"/>
  <c r="H51" i="96" s="1"/>
  <c r="G43" i="96"/>
  <c r="H43" i="96" s="1"/>
  <c r="G48" i="96"/>
  <c r="H48" i="96" s="1"/>
  <c r="G40" i="96"/>
  <c r="H40" i="96" s="1"/>
  <c r="G33" i="96"/>
  <c r="H33" i="96" s="1"/>
  <c r="H52" i="96" s="1"/>
  <c r="G45" i="96"/>
  <c r="H45" i="96" s="1"/>
  <c r="G35" i="96"/>
  <c r="H35" i="96" s="1"/>
  <c r="G50" i="96"/>
  <c r="H50" i="96" s="1"/>
  <c r="G42" i="96"/>
  <c r="H42" i="96" s="1"/>
  <c r="G37" i="96"/>
  <c r="H37" i="96" s="1"/>
  <c r="G39" i="96"/>
  <c r="H39" i="96" s="1"/>
  <c r="G47" i="96"/>
  <c r="H47" i="96" s="1"/>
  <c r="AD1544" i="99"/>
  <c r="AI1544" i="99"/>
  <c r="AH1544" i="99"/>
  <c r="AE1544" i="99"/>
  <c r="AG1544" i="99"/>
  <c r="AF1544" i="99"/>
  <c r="D21" i="86"/>
  <c r="C41" i="86"/>
  <c r="D41" i="86" s="1"/>
  <c r="E41" i="86" s="1"/>
  <c r="C22" i="86"/>
  <c r="C42" i="86" s="1"/>
  <c r="D42" i="86" s="1"/>
  <c r="E42" i="86" s="1"/>
  <c r="B1017" i="99"/>
  <c r="B1024" i="99" s="1"/>
  <c r="H40" i="87"/>
  <c r="B129" i="74"/>
  <c r="E1017" i="99"/>
  <c r="E1024" i="99" s="1"/>
  <c r="E129" i="74"/>
  <c r="H43" i="87"/>
  <c r="K923" i="99"/>
  <c r="K931" i="99" s="1"/>
  <c r="K36" i="74"/>
  <c r="H19" i="87"/>
  <c r="D987" i="99"/>
  <c r="D994" i="99" s="1"/>
  <c r="H32" i="87"/>
  <c r="D99" i="74"/>
  <c r="O1659" i="99"/>
  <c r="E16" i="72"/>
  <c r="O232" i="72"/>
  <c r="R168" i="72"/>
  <c r="Y40" i="72"/>
  <c r="L168" i="72"/>
  <c r="X40" i="72"/>
  <c r="B916" i="99"/>
  <c r="E21" i="74"/>
  <c r="E916" i="99" s="1"/>
  <c r="D21" i="74"/>
  <c r="D916" i="99" s="1"/>
  <c r="B922" i="99"/>
  <c r="B930" i="99" s="1"/>
  <c r="E10" i="87"/>
  <c r="B35" i="74"/>
  <c r="K922" i="99"/>
  <c r="K930" i="99" s="1"/>
  <c r="K35" i="74"/>
  <c r="E19" i="87"/>
  <c r="D1016" i="99"/>
  <c r="D1023" i="99" s="1"/>
  <c r="D128" i="74"/>
  <c r="E42" i="87"/>
  <c r="G986" i="99"/>
  <c r="G993" i="99" s="1"/>
  <c r="G98" i="74"/>
  <c r="E35" i="87"/>
  <c r="K49" i="98"/>
  <c r="N65" i="98"/>
  <c r="M65" i="98"/>
  <c r="K56" i="98"/>
  <c r="P150" i="75"/>
  <c r="P125" i="75"/>
  <c r="F56" i="98"/>
  <c r="P149" i="75"/>
  <c r="K70" i="98"/>
  <c r="J164" i="78"/>
  <c r="J166" i="78" s="1"/>
  <c r="JW687" i="99"/>
  <c r="O766" i="99" s="1"/>
  <c r="HK687" i="99"/>
  <c r="K757" i="99" s="1"/>
  <c r="EY687" i="99"/>
  <c r="L798" i="99" s="1"/>
  <c r="CM687" i="99"/>
  <c r="M732" i="99" s="1"/>
  <c r="AA687" i="99"/>
  <c r="N694" i="99" s="1"/>
  <c r="LB687" i="99"/>
  <c r="K773" i="99" s="1"/>
  <c r="IP687" i="99"/>
  <c r="L780" i="99" s="1"/>
  <c r="GD687" i="99"/>
  <c r="M805" i="99" s="1"/>
  <c r="DR687" i="99"/>
  <c r="N744" i="99" s="1"/>
  <c r="BF687" i="99"/>
  <c r="O700" i="99" s="1"/>
  <c r="LQ687" i="99"/>
  <c r="JE687" i="99"/>
  <c r="L779" i="99" s="1"/>
  <c r="GS687" i="99"/>
  <c r="EG687" i="99"/>
  <c r="N704" i="99" s="1"/>
  <c r="BU687" i="99"/>
  <c r="O736" i="99" s="1"/>
  <c r="LX687" i="99"/>
  <c r="JL687" i="99"/>
  <c r="N776" i="99" s="1"/>
  <c r="N787" i="99" s="1"/>
  <c r="GZ687" i="99"/>
  <c r="O754" i="99" s="1"/>
  <c r="EN687" i="99"/>
  <c r="K796" i="99" s="1"/>
  <c r="CB687" i="99"/>
  <c r="L734" i="99" s="1"/>
  <c r="MT687" i="99"/>
  <c r="KH687" i="99"/>
  <c r="K769" i="99" s="1"/>
  <c r="HV687" i="99"/>
  <c r="FJ687" i="99"/>
  <c r="M800" i="99" s="1"/>
  <c r="CX687" i="99"/>
  <c r="N748" i="99" s="1"/>
  <c r="AL687" i="99"/>
  <c r="O696" i="99" s="1"/>
  <c r="LM687" i="99"/>
  <c r="JA687" i="99"/>
  <c r="M778" i="99" s="1"/>
  <c r="GO687" i="99"/>
  <c r="N752" i="99" s="1"/>
  <c r="EC687" i="99"/>
  <c r="O742" i="99" s="1"/>
  <c r="BQ687" i="99"/>
  <c r="K736" i="99" s="1"/>
  <c r="EU687" i="99"/>
  <c r="M797" i="99" s="1"/>
  <c r="FX687" i="99"/>
  <c r="M456" i="99"/>
  <c r="M472" i="99" s="1"/>
  <c r="M474" i="99" s="1"/>
  <c r="M476" i="99" s="1"/>
  <c r="O1764" i="99"/>
  <c r="Z48" i="72"/>
  <c r="Y48" i="72"/>
  <c r="X48" i="72"/>
  <c r="E22" i="72"/>
  <c r="AC48" i="72"/>
  <c r="AB48" i="72"/>
  <c r="AA48" i="72"/>
  <c r="AA62" i="72" s="1"/>
  <c r="FS687" i="99"/>
  <c r="L803" i="99" s="1"/>
  <c r="AR687" i="99"/>
  <c r="K698" i="99" s="1"/>
  <c r="GQ687" i="99"/>
  <c r="MR687" i="99"/>
  <c r="CV687" i="99"/>
  <c r="L748" i="99" s="1"/>
  <c r="C359" i="99"/>
  <c r="C1017" i="99"/>
  <c r="C1024" i="99" s="1"/>
  <c r="C129" i="74"/>
  <c r="H41" i="87"/>
  <c r="J921" i="99"/>
  <c r="B18" i="87"/>
  <c r="J45" i="82"/>
  <c r="J956" i="99"/>
  <c r="J964" i="99" s="1"/>
  <c r="J69" i="74"/>
  <c r="K28" i="87"/>
  <c r="D985" i="99"/>
  <c r="B32" i="87"/>
  <c r="F921" i="99"/>
  <c r="B14" i="87"/>
  <c r="F45" i="82"/>
  <c r="H921" i="99"/>
  <c r="B16" i="87"/>
  <c r="H45" i="82"/>
  <c r="B988" i="99"/>
  <c r="K30" i="87"/>
  <c r="B100" i="74"/>
  <c r="B921" i="99"/>
  <c r="B10" i="87"/>
  <c r="B45" i="82"/>
  <c r="B40" i="74"/>
  <c r="C40" i="74" s="1"/>
  <c r="C75" i="84"/>
  <c r="F131" i="78"/>
  <c r="E988" i="99"/>
  <c r="E995" i="99" s="1"/>
  <c r="K33" i="87"/>
  <c r="E100" i="74"/>
  <c r="I924" i="99"/>
  <c r="I932" i="99" s="1"/>
  <c r="I37" i="74"/>
  <c r="K17" i="87"/>
  <c r="P1554" i="99"/>
  <c r="AE35" i="72"/>
  <c r="AD35" i="72"/>
  <c r="AI35" i="72"/>
  <c r="AH35" i="72"/>
  <c r="AG35" i="72"/>
  <c r="AG62" i="72" s="1"/>
  <c r="AF35" i="72"/>
  <c r="I922" i="99"/>
  <c r="I930" i="99" s="1"/>
  <c r="E17" i="87"/>
  <c r="I35" i="74"/>
  <c r="P67" i="85"/>
  <c r="A67" i="85"/>
  <c r="A21" i="83" s="1"/>
  <c r="H923" i="99"/>
  <c r="H931" i="99" s="1"/>
  <c r="H16" i="87"/>
  <c r="H36" i="74"/>
  <c r="B923" i="99"/>
  <c r="B931" i="99" s="1"/>
  <c r="H10" i="87"/>
  <c r="B36" i="74"/>
  <c r="B955" i="99"/>
  <c r="B963" i="99" s="1"/>
  <c r="H20" i="87"/>
  <c r="B68" i="74"/>
  <c r="J922" i="99"/>
  <c r="J930" i="99" s="1"/>
  <c r="E18" i="87"/>
  <c r="J35" i="74"/>
  <c r="C954" i="99"/>
  <c r="C962" i="99" s="1"/>
  <c r="C67" i="74"/>
  <c r="E21" i="87"/>
  <c r="F1016" i="99"/>
  <c r="F1023" i="99" s="1"/>
  <c r="E44" i="87"/>
  <c r="F128" i="74"/>
  <c r="AD424" i="99"/>
  <c r="AF424" i="99" s="1"/>
  <c r="AD114" i="78"/>
  <c r="AF114" i="78" s="1"/>
  <c r="N52" i="98"/>
  <c r="M52" i="98"/>
  <c r="J31" i="95"/>
  <c r="Q163" i="75"/>
  <c r="MI687" i="99"/>
  <c r="JO687" i="99"/>
  <c r="L777" i="99" s="1"/>
  <c r="L788" i="99" s="1"/>
  <c r="HC687" i="99"/>
  <c r="M755" i="99" s="1"/>
  <c r="EQ687" i="99"/>
  <c r="N796" i="99" s="1"/>
  <c r="CE687" i="99"/>
  <c r="O734" i="99" s="1"/>
  <c r="KT687" i="99"/>
  <c r="M772" i="99" s="1"/>
  <c r="IH687" i="99"/>
  <c r="N774" i="99" s="1"/>
  <c r="N785" i="99" s="1"/>
  <c r="FV687" i="99"/>
  <c r="O803" i="99" s="1"/>
  <c r="DJ687" i="99"/>
  <c r="K745" i="99" s="1"/>
  <c r="AX687" i="99"/>
  <c r="L699" i="99" s="1"/>
  <c r="LI687" i="99"/>
  <c r="IW687" i="99"/>
  <c r="N781" i="99" s="1"/>
  <c r="GK687" i="99"/>
  <c r="O751" i="99" s="1"/>
  <c r="DY687" i="99"/>
  <c r="K742" i="99" s="1"/>
  <c r="BM687" i="99"/>
  <c r="L737" i="99" s="1"/>
  <c r="LP687" i="99"/>
  <c r="JD687" i="99"/>
  <c r="K779" i="99" s="1"/>
  <c r="GR687" i="99"/>
  <c r="EF687" i="99"/>
  <c r="M704" i="99" s="1"/>
  <c r="BT687" i="99"/>
  <c r="N736" i="99" s="1"/>
  <c r="ML687" i="99"/>
  <c r="JZ687" i="99"/>
  <c r="M768" i="99" s="1"/>
  <c r="M791" i="99" s="1"/>
  <c r="HN687" i="99"/>
  <c r="N757" i="99" s="1"/>
  <c r="FB687" i="99"/>
  <c r="O798" i="99" s="1"/>
  <c r="CP687" i="99"/>
  <c r="K731" i="99" s="1"/>
  <c r="AD687" i="99"/>
  <c r="L695" i="99" s="1"/>
  <c r="LE687" i="99"/>
  <c r="N773" i="99" s="1"/>
  <c r="IS687" i="99"/>
  <c r="O780" i="99" s="1"/>
  <c r="GG687" i="99"/>
  <c r="K751" i="99" s="1"/>
  <c r="DU687" i="99"/>
  <c r="L743" i="99" s="1"/>
  <c r="P743" i="99" s="1"/>
  <c r="BI687" i="99"/>
  <c r="M702" i="99" s="1"/>
  <c r="DO687" i="99"/>
  <c r="K744" i="99" s="1"/>
  <c r="O1895" i="99"/>
  <c r="Y56" i="72"/>
  <c r="E28" i="72"/>
  <c r="X56" i="72"/>
  <c r="AC56" i="72"/>
  <c r="AB56" i="72"/>
  <c r="AA56" i="72"/>
  <c r="Z56" i="72"/>
  <c r="ER687" i="99"/>
  <c r="O796" i="99" s="1"/>
  <c r="EM687" i="99"/>
  <c r="O795" i="99" s="1"/>
  <c r="FK687" i="99"/>
  <c r="N800" i="99" s="1"/>
  <c r="LL687" i="99"/>
  <c r="BP687" i="99"/>
  <c r="O737" i="99" s="1"/>
  <c r="H986" i="99"/>
  <c r="H993" i="99" s="1"/>
  <c r="E36" i="87"/>
  <c r="H98" i="74"/>
  <c r="K55" i="84"/>
  <c r="I55" i="84"/>
  <c r="G55" i="84"/>
  <c r="E55" i="84"/>
  <c r="AI1547" i="99"/>
  <c r="AG1547" i="99"/>
  <c r="AF1547" i="99"/>
  <c r="AH1547" i="99"/>
  <c r="AE1547" i="99"/>
  <c r="AD1547" i="99"/>
  <c r="G923" i="99"/>
  <c r="G931" i="99" s="1"/>
  <c r="H15" i="87"/>
  <c r="G36" i="74"/>
  <c r="C953" i="99"/>
  <c r="C65" i="82"/>
  <c r="B21" i="87"/>
  <c r="F1015" i="99"/>
  <c r="B44" i="87"/>
  <c r="G953" i="99"/>
  <c r="G65" i="82"/>
  <c r="B25" i="87"/>
  <c r="I953" i="99"/>
  <c r="B27" i="87"/>
  <c r="I65" i="82"/>
  <c r="E985" i="99"/>
  <c r="B33" i="87"/>
  <c r="J18" i="84"/>
  <c r="F1018" i="99"/>
  <c r="F1025" i="99" s="1"/>
  <c r="F130" i="74"/>
  <c r="K44" i="87"/>
  <c r="G956" i="99"/>
  <c r="G964" i="99" s="1"/>
  <c r="K25" i="87"/>
  <c r="G69" i="74"/>
  <c r="K49" i="93"/>
  <c r="K41" i="93"/>
  <c r="G955" i="99"/>
  <c r="G963" i="99" s="1"/>
  <c r="G68" i="74"/>
  <c r="H25" i="87"/>
  <c r="J923" i="99"/>
  <c r="J931" i="99" s="1"/>
  <c r="H18" i="87"/>
  <c r="J36" i="74"/>
  <c r="J955" i="99"/>
  <c r="J963" i="99" s="1"/>
  <c r="H28" i="87"/>
  <c r="J68" i="74"/>
  <c r="L1661" i="99"/>
  <c r="Q1661" i="99"/>
  <c r="B954" i="99"/>
  <c r="B962" i="99" s="1"/>
  <c r="E20" i="87"/>
  <c r="B67" i="74"/>
  <c r="K954" i="99"/>
  <c r="K962" i="99" s="1"/>
  <c r="K67" i="74"/>
  <c r="E29" i="87"/>
  <c r="E922" i="99"/>
  <c r="E930" i="99" s="1"/>
  <c r="E35" i="74"/>
  <c r="E13" i="87"/>
  <c r="J30" i="95"/>
  <c r="Q162" i="75"/>
  <c r="I64" i="98"/>
  <c r="H64" i="98"/>
  <c r="F49" i="98"/>
  <c r="P147" i="75"/>
  <c r="MA687" i="99"/>
  <c r="JG687" i="99"/>
  <c r="N779" i="99" s="1"/>
  <c r="GU687" i="99"/>
  <c r="EI687" i="99"/>
  <c r="K795" i="99" s="1"/>
  <c r="BW687" i="99"/>
  <c r="L735" i="99" s="1"/>
  <c r="KL687" i="99"/>
  <c r="O769" i="99" s="1"/>
  <c r="O792" i="99" s="1"/>
  <c r="HZ687" i="99"/>
  <c r="FN687" i="99"/>
  <c r="L801" i="99" s="1"/>
  <c r="DB687" i="99"/>
  <c r="M747" i="99" s="1"/>
  <c r="AP687" i="99"/>
  <c r="N697" i="99" s="1"/>
  <c r="LA687" i="99"/>
  <c r="O771" i="99" s="1"/>
  <c r="IO687" i="99"/>
  <c r="K780" i="99" s="1"/>
  <c r="GC687" i="99"/>
  <c r="L805" i="99" s="1"/>
  <c r="DQ687" i="99"/>
  <c r="M744" i="99" s="1"/>
  <c r="BE687" i="99"/>
  <c r="N700" i="99" s="1"/>
  <c r="LH687" i="99"/>
  <c r="IV687" i="99"/>
  <c r="M781" i="99" s="1"/>
  <c r="GJ687" i="99"/>
  <c r="N751" i="99" s="1"/>
  <c r="DX687" i="99"/>
  <c r="O743" i="99" s="1"/>
  <c r="BL687" i="99"/>
  <c r="K737" i="99" s="1"/>
  <c r="MD687" i="99"/>
  <c r="JR687" i="99"/>
  <c r="O777" i="99" s="1"/>
  <c r="O788" i="99" s="1"/>
  <c r="HF687" i="99"/>
  <c r="ET687" i="99"/>
  <c r="L797" i="99" s="1"/>
  <c r="CH687" i="99"/>
  <c r="M733" i="99" s="1"/>
  <c r="KW687" i="99"/>
  <c r="K771" i="99" s="1"/>
  <c r="IK687" i="99"/>
  <c r="L775" i="99" s="1"/>
  <c r="L786" i="99" s="1"/>
  <c r="FY687" i="99"/>
  <c r="DM687" i="99"/>
  <c r="N745" i="99" s="1"/>
  <c r="BA687" i="99"/>
  <c r="O699" i="99" s="1"/>
  <c r="CI687" i="99"/>
  <c r="N733" i="99" s="1"/>
  <c r="D55" i="92"/>
  <c r="D35" i="90"/>
  <c r="I64" i="92" s="1"/>
  <c r="DL687" i="99"/>
  <c r="M745" i="99" s="1"/>
  <c r="DG687" i="99"/>
  <c r="M746" i="99" s="1"/>
  <c r="I59" i="96"/>
  <c r="K64" i="96" s="1"/>
  <c r="K69" i="96" s="1"/>
  <c r="D64" i="96"/>
  <c r="P1659" i="99"/>
  <c r="P232" i="72"/>
  <c r="AE40" i="72"/>
  <c r="AD40" i="72"/>
  <c r="EE687" i="99"/>
  <c r="L704" i="99" s="1"/>
  <c r="KF687" i="99"/>
  <c r="N767" i="99" s="1"/>
  <c r="AJ687" i="99"/>
  <c r="M696" i="99" s="1"/>
  <c r="C1018" i="99"/>
  <c r="C1025" i="99" s="1"/>
  <c r="K41" i="87"/>
  <c r="C130" i="74"/>
  <c r="J988" i="99"/>
  <c r="J995" i="99" s="1"/>
  <c r="J100" i="74"/>
  <c r="K38" i="87"/>
  <c r="I921" i="99"/>
  <c r="I45" i="82"/>
  <c r="B17" i="87"/>
  <c r="F923" i="99"/>
  <c r="F931" i="99" s="1"/>
  <c r="H14" i="87"/>
  <c r="F36" i="74"/>
  <c r="D921" i="99"/>
  <c r="D45" i="82"/>
  <c r="B12" i="87"/>
  <c r="H985" i="99"/>
  <c r="B36" i="87"/>
  <c r="B985" i="99"/>
  <c r="B30" i="87"/>
  <c r="I956" i="99"/>
  <c r="I964" i="99" s="1"/>
  <c r="K27" i="87"/>
  <c r="I69" i="74"/>
  <c r="G924" i="99"/>
  <c r="G932" i="99" s="1"/>
  <c r="K15" i="87"/>
  <c r="G37" i="74"/>
  <c r="H988" i="99"/>
  <c r="H995" i="99" s="1"/>
  <c r="H100" i="74"/>
  <c r="K36" i="87"/>
  <c r="K43" i="93"/>
  <c r="H987" i="99"/>
  <c r="H994" i="99" s="1"/>
  <c r="H36" i="87"/>
  <c r="H99" i="74"/>
  <c r="I955" i="99"/>
  <c r="I963" i="99" s="1"/>
  <c r="H27" i="87"/>
  <c r="I68" i="74"/>
  <c r="C987" i="99"/>
  <c r="C994" i="99" s="1"/>
  <c r="C99" i="74"/>
  <c r="H31" i="87"/>
  <c r="J954" i="99"/>
  <c r="J962" i="99" s="1"/>
  <c r="E28" i="87"/>
  <c r="J67" i="74"/>
  <c r="D986" i="99"/>
  <c r="D993" i="99" s="1"/>
  <c r="E32" i="87"/>
  <c r="D98" i="74"/>
  <c r="E954" i="99"/>
  <c r="E962" i="99" s="1"/>
  <c r="E23" i="87"/>
  <c r="E67" i="74"/>
  <c r="E924" i="99"/>
  <c r="E932" i="99" s="1"/>
  <c r="K13" i="87"/>
  <c r="E37" i="74"/>
  <c r="N66" i="98"/>
  <c r="M66" i="98"/>
  <c r="I67" i="98"/>
  <c r="H67" i="98"/>
  <c r="K166" i="75"/>
  <c r="P164" i="75"/>
  <c r="F32" i="95"/>
  <c r="L65" i="75"/>
  <c r="L67" i="75" s="1"/>
  <c r="I65" i="98"/>
  <c r="H65" i="98"/>
  <c r="P63" i="75"/>
  <c r="E32" i="95"/>
  <c r="K65" i="75"/>
  <c r="AD108" i="78"/>
  <c r="J26" i="95"/>
  <c r="Q158" i="75"/>
  <c r="P118" i="75"/>
  <c r="AT49" i="72" s="1"/>
  <c r="I303" i="99"/>
  <c r="I304" i="99" s="1"/>
  <c r="J456" i="99"/>
  <c r="J472" i="99" s="1"/>
  <c r="J474" i="99" s="1"/>
  <c r="J476" i="99" s="1"/>
  <c r="I61" i="68"/>
  <c r="I62" i="68" s="1"/>
  <c r="P47" i="68" s="1"/>
  <c r="P289" i="99" s="1"/>
  <c r="P53" i="98"/>
  <c r="G456" i="99"/>
  <c r="P56" i="98"/>
  <c r="B4" i="82"/>
  <c r="J176" i="78"/>
  <c r="J178" i="78" s="1"/>
  <c r="J180" i="78" s="1"/>
  <c r="B15" i="82" s="1"/>
  <c r="L34" i="68"/>
  <c r="H55" i="86"/>
  <c r="D55" i="86"/>
  <c r="F35" i="86"/>
  <c r="G15" i="86"/>
  <c r="C15" i="86"/>
  <c r="G55" i="86"/>
  <c r="C55" i="86"/>
  <c r="I35" i="86"/>
  <c r="E35" i="86"/>
  <c r="F15" i="86"/>
  <c r="C35" i="86"/>
  <c r="F55" i="86"/>
  <c r="H35" i="86"/>
  <c r="D35" i="86"/>
  <c r="O17" i="86"/>
  <c r="O16" i="86"/>
  <c r="I15" i="86"/>
  <c r="E15" i="86"/>
  <c r="E55" i="86"/>
  <c r="G35" i="86"/>
  <c r="H15" i="86"/>
  <c r="D15" i="86"/>
  <c r="C38" i="84"/>
  <c r="D18" i="84"/>
  <c r="K40" i="84"/>
  <c r="I14" i="86"/>
  <c r="H927" i="99"/>
  <c r="E34" i="86"/>
  <c r="K927" i="99"/>
  <c r="F927" i="99"/>
  <c r="G14" i="86"/>
  <c r="H14" i="86"/>
  <c r="G927" i="99"/>
  <c r="D959" i="99"/>
  <c r="H34" i="86"/>
  <c r="C54" i="86"/>
  <c r="F959" i="99"/>
  <c r="E959" i="99"/>
  <c r="I34" i="86"/>
  <c r="I927" i="99"/>
  <c r="C34" i="86"/>
  <c r="F34" i="86"/>
  <c r="R31" i="74"/>
  <c r="B959" i="99"/>
  <c r="J927" i="99"/>
  <c r="D34" i="86"/>
  <c r="R33" i="74"/>
  <c r="R32" i="74"/>
  <c r="E927" i="99"/>
  <c r="R40" i="74"/>
  <c r="R39" i="74"/>
  <c r="R38" i="74"/>
  <c r="R37" i="74"/>
  <c r="R36" i="74"/>
  <c r="R30" i="74"/>
  <c r="E44" i="74"/>
  <c r="E939" i="99" s="1"/>
  <c r="R35" i="74"/>
  <c r="F14" i="86"/>
  <c r="R34" i="74"/>
  <c r="R29" i="74"/>
  <c r="R28" i="74"/>
  <c r="R27" i="74"/>
  <c r="R26" i="74"/>
  <c r="R25" i="74"/>
  <c r="R24" i="74"/>
  <c r="P293" i="99" l="1"/>
  <c r="P754" i="99"/>
  <c r="N73" i="98"/>
  <c r="N51" i="98"/>
  <c r="M51" i="98"/>
  <c r="M53" i="98"/>
  <c r="N53" i="98"/>
  <c r="K45" i="96"/>
  <c r="O701" i="99"/>
  <c r="O703" i="99" s="1"/>
  <c r="O705" i="99" s="1"/>
  <c r="O723" i="99" s="1"/>
  <c r="M64" i="98"/>
  <c r="L759" i="99"/>
  <c r="P154" i="75"/>
  <c r="M759" i="99"/>
  <c r="M50" i="98"/>
  <c r="N50" i="98"/>
  <c r="P148" i="75"/>
  <c r="I50" i="98"/>
  <c r="H50" i="98"/>
  <c r="M753" i="99"/>
  <c r="M49" i="75"/>
  <c r="M50" i="75" s="1"/>
  <c r="H73" i="98"/>
  <c r="I73" i="98"/>
  <c r="AC1538" i="99"/>
  <c r="AB1538" i="99"/>
  <c r="AA1538" i="99"/>
  <c r="X1538" i="99"/>
  <c r="Y1538" i="99"/>
  <c r="Z1538" i="99"/>
  <c r="O753" i="99"/>
  <c r="P771" i="99"/>
  <c r="P152" i="75"/>
  <c r="L785" i="99"/>
  <c r="L738" i="99"/>
  <c r="N71" i="98"/>
  <c r="M71" i="98"/>
  <c r="B368" i="99"/>
  <c r="F365" i="99"/>
  <c r="P742" i="99"/>
  <c r="K749" i="99"/>
  <c r="P736" i="99"/>
  <c r="E21" i="86"/>
  <c r="D22" i="86"/>
  <c r="N749" i="99"/>
  <c r="M802" i="99"/>
  <c r="M804" i="99" s="1"/>
  <c r="M806" i="99" s="1"/>
  <c r="K34" i="96"/>
  <c r="K35" i="96"/>
  <c r="K36" i="96"/>
  <c r="K785" i="99"/>
  <c r="P774" i="99"/>
  <c r="M738" i="99"/>
  <c r="N756" i="99"/>
  <c r="L802" i="99"/>
  <c r="L804" i="99" s="1"/>
  <c r="L806" i="99" s="1"/>
  <c r="P781" i="99"/>
  <c r="N738" i="99"/>
  <c r="K788" i="99"/>
  <c r="P788" i="99" s="1"/>
  <c r="P777" i="99"/>
  <c r="M171" i="75"/>
  <c r="M76" i="75"/>
  <c r="M73" i="75"/>
  <c r="M85" i="75"/>
  <c r="M82" i="75"/>
  <c r="M79" i="75"/>
  <c r="M70" i="75"/>
  <c r="M88" i="75"/>
  <c r="K789" i="99"/>
  <c r="P766" i="99"/>
  <c r="K765" i="99"/>
  <c r="P704" i="99"/>
  <c r="Q805" i="99" s="1"/>
  <c r="P772" i="99"/>
  <c r="P798" i="99"/>
  <c r="P746" i="99"/>
  <c r="Q879" i="99"/>
  <c r="P879" i="99"/>
  <c r="B15" i="74"/>
  <c r="H179" i="75"/>
  <c r="H817" i="99" s="1"/>
  <c r="P817" i="99" s="1"/>
  <c r="P695" i="99"/>
  <c r="J32" i="95"/>
  <c r="E13" i="84"/>
  <c r="H16" i="85" s="1"/>
  <c r="P751" i="99"/>
  <c r="O749" i="99"/>
  <c r="K792" i="99"/>
  <c r="P769" i="99"/>
  <c r="P773" i="99"/>
  <c r="R1659" i="99"/>
  <c r="Y1531" i="99"/>
  <c r="L1659" i="99"/>
  <c r="X1531" i="99"/>
  <c r="K701" i="99"/>
  <c r="P694" i="99"/>
  <c r="P755" i="99"/>
  <c r="K44" i="96"/>
  <c r="K40" i="96"/>
  <c r="K41" i="96"/>
  <c r="M789" i="99"/>
  <c r="M765" i="99"/>
  <c r="E926" i="99"/>
  <c r="F31" i="74"/>
  <c r="E53" i="82"/>
  <c r="F14" i="74"/>
  <c r="E24" i="74"/>
  <c r="E919" i="99" s="1"/>
  <c r="E22" i="74"/>
  <c r="F68" i="98"/>
  <c r="I63" i="98"/>
  <c r="I68" i="98" s="1"/>
  <c r="H63" i="98"/>
  <c r="L71" i="98"/>
  <c r="I71" i="98"/>
  <c r="O756" i="99"/>
  <c r="M785" i="99"/>
  <c r="N717" i="99"/>
  <c r="P697" i="99"/>
  <c r="L1386" i="99"/>
  <c r="L1381" i="99"/>
  <c r="L348" i="73"/>
  <c r="L343" i="73"/>
  <c r="C935" i="99"/>
  <c r="K168" i="75"/>
  <c r="P168" i="75" s="1"/>
  <c r="P166" i="75"/>
  <c r="F359" i="99" s="1"/>
  <c r="P1723" i="99"/>
  <c r="AE44" i="72"/>
  <c r="AD44" i="72"/>
  <c r="K756" i="99"/>
  <c r="N726" i="99"/>
  <c r="I49" i="98"/>
  <c r="I54" i="98" s="1"/>
  <c r="H49" i="98"/>
  <c r="F54" i="98"/>
  <c r="K753" i="99"/>
  <c r="N701" i="99"/>
  <c r="N703" i="99" s="1"/>
  <c r="N705" i="99" s="1"/>
  <c r="N809" i="99" s="1"/>
  <c r="K75" i="98"/>
  <c r="N70" i="98"/>
  <c r="N75" i="98" s="1"/>
  <c r="M70" i="98"/>
  <c r="P1603" i="99"/>
  <c r="AE38" i="72"/>
  <c r="AD38" i="72"/>
  <c r="Q66" i="98"/>
  <c r="K787" i="99"/>
  <c r="P787" i="99" s="1"/>
  <c r="P776" i="99"/>
  <c r="P748" i="99"/>
  <c r="K39" i="96"/>
  <c r="K48" i="96"/>
  <c r="K49" i="96"/>
  <c r="P700" i="99"/>
  <c r="P758" i="99"/>
  <c r="AD423" i="99"/>
  <c r="AD113" i="78"/>
  <c r="D917" i="99"/>
  <c r="N789" i="99"/>
  <c r="N765" i="99"/>
  <c r="R950" i="99"/>
  <c r="S950" i="99" s="1"/>
  <c r="B964" i="99"/>
  <c r="P734" i="99"/>
  <c r="M749" i="99"/>
  <c r="D40" i="74"/>
  <c r="AD1531" i="99"/>
  <c r="AE1531" i="99"/>
  <c r="AE1526" i="99"/>
  <c r="AG1526" i="99"/>
  <c r="AG1553" i="99" s="1"/>
  <c r="AF1526" i="99"/>
  <c r="AD1526" i="99"/>
  <c r="AH1526" i="99"/>
  <c r="AI1526" i="99"/>
  <c r="P698" i="99"/>
  <c r="M49" i="98"/>
  <c r="K54" i="98"/>
  <c r="N49" i="98"/>
  <c r="N54" i="98" s="1"/>
  <c r="G1386" i="99"/>
  <c r="G1381" i="99"/>
  <c r="G348" i="73"/>
  <c r="G343" i="73"/>
  <c r="O171" i="75"/>
  <c r="O88" i="75"/>
  <c r="O79" i="75"/>
  <c r="O76" i="75"/>
  <c r="O85" i="75"/>
  <c r="O82" i="75"/>
  <c r="O73" i="75"/>
  <c r="O70" i="75"/>
  <c r="K47" i="96"/>
  <c r="K33" i="96"/>
  <c r="K52" i="96" s="1"/>
  <c r="K54" i="96" s="1"/>
  <c r="K68" i="96" s="1"/>
  <c r="K70" i="96" s="1"/>
  <c r="K786" i="99"/>
  <c r="P775" i="99"/>
  <c r="O791" i="99"/>
  <c r="P735" i="99"/>
  <c r="P747" i="99"/>
  <c r="K790" i="99"/>
  <c r="P767" i="99"/>
  <c r="K763" i="99"/>
  <c r="Y1529" i="99"/>
  <c r="L1604" i="99"/>
  <c r="X1529" i="99"/>
  <c r="P801" i="99"/>
  <c r="I70" i="98"/>
  <c r="H70" i="98"/>
  <c r="F75" i="98"/>
  <c r="P805" i="99"/>
  <c r="P696" i="99"/>
  <c r="N56" i="98"/>
  <c r="N61" i="98" s="1"/>
  <c r="M56" i="98"/>
  <c r="K61" i="98"/>
  <c r="B1025" i="99"/>
  <c r="R1012" i="99"/>
  <c r="S1012" i="99" s="1"/>
  <c r="N711" i="99"/>
  <c r="O802" i="99"/>
  <c r="O804" i="99" s="1"/>
  <c r="O806" i="99" s="1"/>
  <c r="L753" i="99"/>
  <c r="I75" i="84"/>
  <c r="I77" i="84" s="1"/>
  <c r="C77" i="84"/>
  <c r="G75" i="84"/>
  <c r="G77" i="84" s="1"/>
  <c r="E75" i="84"/>
  <c r="E77" i="84" s="1"/>
  <c r="K75" i="84"/>
  <c r="K77" i="84" s="1"/>
  <c r="R982" i="99"/>
  <c r="S982" i="99" s="1"/>
  <c r="B995" i="99"/>
  <c r="AC1539" i="99"/>
  <c r="AA1539" i="99"/>
  <c r="Z1539" i="99"/>
  <c r="AB1539" i="99"/>
  <c r="Y1539" i="99"/>
  <c r="X1539" i="99"/>
  <c r="P796" i="99"/>
  <c r="F61" i="98"/>
  <c r="I56" i="98"/>
  <c r="I61" i="98" s="1"/>
  <c r="H56" i="98"/>
  <c r="M756" i="99"/>
  <c r="K42" i="96"/>
  <c r="K43" i="96"/>
  <c r="L756" i="99"/>
  <c r="P770" i="99"/>
  <c r="Q878" i="99"/>
  <c r="P878" i="99"/>
  <c r="N171" i="75"/>
  <c r="N76" i="75"/>
  <c r="N73" i="75"/>
  <c r="N88" i="75"/>
  <c r="N85" i="75"/>
  <c r="N82" i="75"/>
  <c r="N79" i="75"/>
  <c r="N70" i="75"/>
  <c r="K35" i="84"/>
  <c r="C40" i="84"/>
  <c r="K37" i="84"/>
  <c r="N720" i="99"/>
  <c r="K759" i="99"/>
  <c r="O720" i="99"/>
  <c r="O759" i="99"/>
  <c r="P702" i="99"/>
  <c r="Q803" i="99" s="1"/>
  <c r="P733" i="99"/>
  <c r="O786" i="99"/>
  <c r="O738" i="99"/>
  <c r="P778" i="99"/>
  <c r="P768" i="99"/>
  <c r="L790" i="99"/>
  <c r="L763" i="99"/>
  <c r="L171" i="75"/>
  <c r="L79" i="75"/>
  <c r="L76" i="75"/>
  <c r="L88" i="75"/>
  <c r="L85" i="75"/>
  <c r="L73" i="75"/>
  <c r="L82" i="75"/>
  <c r="L70" i="75"/>
  <c r="P737" i="99"/>
  <c r="P780" i="99"/>
  <c r="K802" i="99"/>
  <c r="P795" i="99"/>
  <c r="AA1547" i="99"/>
  <c r="Y1547" i="99"/>
  <c r="X1547" i="99"/>
  <c r="Z1547" i="99"/>
  <c r="AB1547" i="99"/>
  <c r="AC1547" i="99"/>
  <c r="K738" i="99"/>
  <c r="P731" i="99"/>
  <c r="P779" i="99"/>
  <c r="P745" i="99"/>
  <c r="B935" i="99"/>
  <c r="C10" i="86"/>
  <c r="D10" i="86"/>
  <c r="P757" i="99"/>
  <c r="H1881" i="99"/>
  <c r="P243" i="75"/>
  <c r="Q242" i="75"/>
  <c r="Q243" i="75" s="1"/>
  <c r="Q234" i="75" s="1"/>
  <c r="P242" i="75"/>
  <c r="H390" i="72"/>
  <c r="L789" i="99"/>
  <c r="L765" i="99"/>
  <c r="L749" i="99"/>
  <c r="M790" i="99"/>
  <c r="M763" i="99"/>
  <c r="N63" i="98"/>
  <c r="N68" i="98" s="1"/>
  <c r="M63" i="98"/>
  <c r="K68" i="98"/>
  <c r="K50" i="96"/>
  <c r="K51" i="96"/>
  <c r="M786" i="99"/>
  <c r="L701" i="99"/>
  <c r="L703" i="99" s="1"/>
  <c r="L705" i="99" s="1"/>
  <c r="L809" i="99" s="1"/>
  <c r="N753" i="99"/>
  <c r="N759" i="99"/>
  <c r="O785" i="99"/>
  <c r="L72" i="98"/>
  <c r="I72" i="98"/>
  <c r="O790" i="99"/>
  <c r="O763" i="99"/>
  <c r="N792" i="99"/>
  <c r="N802" i="99"/>
  <c r="N804" i="99" s="1"/>
  <c r="N806" i="99" s="1"/>
  <c r="K791" i="99"/>
  <c r="K67" i="75"/>
  <c r="P65" i="75"/>
  <c r="J477" i="99" s="1"/>
  <c r="J478" i="99" s="1"/>
  <c r="J480" i="99" s="1"/>
  <c r="O1723" i="99"/>
  <c r="X44" i="72"/>
  <c r="L232" i="72"/>
  <c r="L190" i="72"/>
  <c r="E19" i="72"/>
  <c r="Y44" i="72"/>
  <c r="AD111" i="78"/>
  <c r="AF108" i="78"/>
  <c r="AF111" i="78" s="1"/>
  <c r="N790" i="99"/>
  <c r="N763" i="99"/>
  <c r="P744" i="99"/>
  <c r="O765" i="99"/>
  <c r="O789" i="99"/>
  <c r="P803" i="99"/>
  <c r="Q877" i="99"/>
  <c r="P877" i="99"/>
  <c r="P752" i="99"/>
  <c r="K37" i="96"/>
  <c r="K38" i="96"/>
  <c r="P800" i="99"/>
  <c r="P797" i="99"/>
  <c r="P732" i="99"/>
  <c r="AD421" i="99"/>
  <c r="AF419" i="99"/>
  <c r="AF421" i="99" s="1"/>
  <c r="N786" i="99"/>
  <c r="N723" i="99"/>
  <c r="M701" i="99"/>
  <c r="M703" i="99" s="1"/>
  <c r="M705" i="99" s="1"/>
  <c r="M726" i="99" s="1"/>
  <c r="M708" i="99"/>
  <c r="L726" i="99"/>
  <c r="P699" i="99"/>
  <c r="P294" i="99"/>
  <c r="P295" i="99" s="1"/>
  <c r="P52" i="68"/>
  <c r="P51" i="68"/>
  <c r="J486" i="99"/>
  <c r="J488" i="99" s="1"/>
  <c r="J490" i="99" s="1"/>
  <c r="J493" i="99" s="1"/>
  <c r="J183" i="78"/>
  <c r="L276" i="99"/>
  <c r="L277" i="99" s="1"/>
  <c r="L35" i="68"/>
  <c r="O19" i="86"/>
  <c r="O23" i="86" s="1"/>
  <c r="O25" i="86" s="1"/>
  <c r="O31" i="86" s="1"/>
  <c r="R926" i="99"/>
  <c r="I47" i="68"/>
  <c r="R930" i="99"/>
  <c r="R929" i="99"/>
  <c r="R928" i="99"/>
  <c r="R927" i="99"/>
  <c r="R925" i="99"/>
  <c r="R924" i="99"/>
  <c r="R923" i="99"/>
  <c r="R922" i="99"/>
  <c r="R921" i="99"/>
  <c r="R920" i="99"/>
  <c r="R919" i="99"/>
  <c r="R935" i="99"/>
  <c r="R934" i="99"/>
  <c r="R933" i="99"/>
  <c r="R932" i="99"/>
  <c r="R931" i="99"/>
  <c r="F44" i="74"/>
  <c r="L708" i="99" l="1"/>
  <c r="P756" i="99"/>
  <c r="O717" i="99"/>
  <c r="N708" i="99"/>
  <c r="P179" i="75"/>
  <c r="O726" i="99"/>
  <c r="O708" i="99"/>
  <c r="P738" i="99"/>
  <c r="O714" i="99"/>
  <c r="O711" i="99"/>
  <c r="O809" i="99"/>
  <c r="L711" i="99"/>
  <c r="Q796" i="99"/>
  <c r="Q800" i="99"/>
  <c r="K1588" i="99"/>
  <c r="O1588" i="99" s="1"/>
  <c r="L1588" i="99"/>
  <c r="P1588" i="99" s="1"/>
  <c r="L97" i="72"/>
  <c r="P97" i="72" s="1"/>
  <c r="P96" i="72" s="1"/>
  <c r="K97" i="72"/>
  <c r="O97" i="72" s="1"/>
  <c r="O96" i="72" s="1"/>
  <c r="J97" i="72"/>
  <c r="F48" i="78"/>
  <c r="F57" i="78"/>
  <c r="AD115" i="78"/>
  <c r="AF113" i="78"/>
  <c r="AF115" i="78" s="1"/>
  <c r="E109" i="78" s="1"/>
  <c r="I109" i="78" s="1"/>
  <c r="K175" i="75"/>
  <c r="P367" i="99" s="1"/>
  <c r="J49" i="78"/>
  <c r="J58" i="78"/>
  <c r="L714" i="99"/>
  <c r="J167" i="78"/>
  <c r="J168" i="78" s="1"/>
  <c r="P765" i="99"/>
  <c r="P785" i="99"/>
  <c r="I75" i="98"/>
  <c r="H77" i="98" s="1"/>
  <c r="P71" i="98" s="1"/>
  <c r="P789" i="99"/>
  <c r="P791" i="99"/>
  <c r="Q872" i="99"/>
  <c r="Q235" i="75"/>
  <c r="Q873" i="99" s="1"/>
  <c r="N235" i="75"/>
  <c r="C66" i="84"/>
  <c r="B23" i="74"/>
  <c r="E174" i="90"/>
  <c r="E175" i="90" s="1"/>
  <c r="Q247" i="75"/>
  <c r="M714" i="99"/>
  <c r="P759" i="99"/>
  <c r="M77" i="98"/>
  <c r="M717" i="99"/>
  <c r="E917" i="99"/>
  <c r="Q795" i="99"/>
  <c r="F367" i="99"/>
  <c r="J368" i="99"/>
  <c r="F368" i="99"/>
  <c r="Q797" i="99"/>
  <c r="P786" i="99"/>
  <c r="K77" i="98"/>
  <c r="D935" i="99"/>
  <c r="E40" i="74"/>
  <c r="F10" i="86" s="1"/>
  <c r="M723" i="99"/>
  <c r="E10" i="86"/>
  <c r="M477" i="99"/>
  <c r="M478" i="99" s="1"/>
  <c r="M480" i="99" s="1"/>
  <c r="L720" i="99"/>
  <c r="F358" i="99"/>
  <c r="AF423" i="99"/>
  <c r="AF425" i="99" s="1"/>
  <c r="E419" i="99" s="1"/>
  <c r="I419" i="99" s="1"/>
  <c r="AD425" i="99"/>
  <c r="Q798" i="99"/>
  <c r="C81" i="84"/>
  <c r="C80" i="84"/>
  <c r="P763" i="99"/>
  <c r="F77" i="98"/>
  <c r="AE1535" i="99"/>
  <c r="AD1535" i="99"/>
  <c r="N714" i="99"/>
  <c r="G14" i="74"/>
  <c r="F24" i="74"/>
  <c r="F919" i="99" s="1"/>
  <c r="F22" i="74"/>
  <c r="F21" i="74"/>
  <c r="F916" i="99" s="1"/>
  <c r="K171" i="75"/>
  <c r="P67" i="75"/>
  <c r="J367" i="99" s="1"/>
  <c r="K88" i="75"/>
  <c r="K76" i="75"/>
  <c r="K79" i="75"/>
  <c r="K85" i="75"/>
  <c r="K82" i="75"/>
  <c r="K73" i="75"/>
  <c r="K70" i="75"/>
  <c r="AA1553" i="99"/>
  <c r="Q799" i="99"/>
  <c r="L717" i="99"/>
  <c r="Q801" i="99"/>
  <c r="P701" i="99"/>
  <c r="K703" i="99"/>
  <c r="P477" i="99"/>
  <c r="P478" i="99" s="1"/>
  <c r="P480" i="99" s="1"/>
  <c r="B910" i="99"/>
  <c r="B16" i="74"/>
  <c r="D15" i="74"/>
  <c r="C15" i="74"/>
  <c r="C52" i="84"/>
  <c r="G15" i="74"/>
  <c r="F15" i="74"/>
  <c r="E15" i="74"/>
  <c r="P749" i="99"/>
  <c r="M809" i="99"/>
  <c r="M711" i="99"/>
  <c r="K804" i="99"/>
  <c r="P802" i="99"/>
  <c r="L723" i="99"/>
  <c r="P790" i="99"/>
  <c r="P753" i="99"/>
  <c r="F926" i="99"/>
  <c r="G31" i="74"/>
  <c r="F53" i="82"/>
  <c r="P792" i="99"/>
  <c r="M167" i="78"/>
  <c r="M168" i="78" s="1"/>
  <c r="M170" i="78" s="1"/>
  <c r="Y1535" i="99"/>
  <c r="X1535" i="99"/>
  <c r="L1723" i="99"/>
  <c r="M720" i="99"/>
  <c r="AD1529" i="99"/>
  <c r="AE1529" i="99"/>
  <c r="F49" i="78"/>
  <c r="F58" i="78"/>
  <c r="P167" i="78"/>
  <c r="P168" i="78" s="1"/>
  <c r="P170" i="78" s="1"/>
  <c r="F21" i="86"/>
  <c r="E22" i="86"/>
  <c r="J359" i="99"/>
  <c r="P53" i="68"/>
  <c r="I289" i="99"/>
  <c r="F939" i="99"/>
  <c r="G44" i="74"/>
  <c r="B17" i="74" l="1"/>
  <c r="K6" i="74" s="1"/>
  <c r="J4" i="91"/>
  <c r="J481" i="99"/>
  <c r="L4" i="95"/>
  <c r="B912" i="99"/>
  <c r="C54" i="84"/>
  <c r="G910" i="99"/>
  <c r="B39" i="74"/>
  <c r="B934" i="99" s="1"/>
  <c r="I52" i="84"/>
  <c r="G52" i="84"/>
  <c r="E52" i="84"/>
  <c r="K52" i="84"/>
  <c r="E935" i="99"/>
  <c r="F40" i="74"/>
  <c r="P880" i="99"/>
  <c r="P881" i="99"/>
  <c r="Q880" i="99"/>
  <c r="Q881" i="99" s="1"/>
  <c r="N873" i="99" s="1"/>
  <c r="K66" i="84"/>
  <c r="I66" i="84"/>
  <c r="G66" i="84"/>
  <c r="E66" i="84"/>
  <c r="E910" i="99"/>
  <c r="D910" i="99"/>
  <c r="H14" i="74"/>
  <c r="G24" i="74"/>
  <c r="G919" i="99" s="1"/>
  <c r="G22" i="74"/>
  <c r="G21" i="74"/>
  <c r="G916" i="99" s="1"/>
  <c r="J170" i="78"/>
  <c r="J171" i="78" s="1"/>
  <c r="G15" i="82"/>
  <c r="G19" i="82" s="1"/>
  <c r="G20" i="82" s="1"/>
  <c r="F917" i="99"/>
  <c r="B918" i="99"/>
  <c r="H23" i="74"/>
  <c r="G23" i="74"/>
  <c r="C13" i="86"/>
  <c r="F23" i="74"/>
  <c r="E23" i="74"/>
  <c r="D23" i="74"/>
  <c r="C23" i="74"/>
  <c r="G926" i="99"/>
  <c r="H31" i="74"/>
  <c r="G53" i="82"/>
  <c r="K806" i="99"/>
  <c r="P806" i="99" s="1"/>
  <c r="K813" i="99" s="1"/>
  <c r="P804" i="99"/>
  <c r="B911" i="99"/>
  <c r="B915" i="99" s="1"/>
  <c r="B920" i="99" s="1"/>
  <c r="H16" i="74"/>
  <c r="H911" i="99" s="1"/>
  <c r="G16" i="74"/>
  <c r="G911" i="99" s="1"/>
  <c r="F16" i="74"/>
  <c r="F911" i="99" s="1"/>
  <c r="C53" i="84"/>
  <c r="C56" i="84" s="1"/>
  <c r="C64" i="84" s="1"/>
  <c r="C70" i="84" s="1"/>
  <c r="E16" i="74"/>
  <c r="E911" i="99" s="1"/>
  <c r="D16" i="74"/>
  <c r="D911" i="99" s="1"/>
  <c r="C16" i="74"/>
  <c r="C911" i="99" s="1"/>
  <c r="K8" i="74"/>
  <c r="C910" i="99"/>
  <c r="B20" i="74"/>
  <c r="B25" i="74" s="1"/>
  <c r="K705" i="99"/>
  <c r="P703" i="99"/>
  <c r="H1716" i="99"/>
  <c r="J1855" i="99"/>
  <c r="E1381" i="99"/>
  <c r="N1381" i="99" s="1"/>
  <c r="E1386" i="99"/>
  <c r="N1386" i="99" s="1"/>
  <c r="J1881" i="99"/>
  <c r="L1881" i="99" s="1"/>
  <c r="M1328" i="99"/>
  <c r="L1328" i="99" s="1"/>
  <c r="O1875" i="99"/>
  <c r="O1876" i="99" s="1"/>
  <c r="E1383" i="99"/>
  <c r="N1383" i="99" s="1"/>
  <c r="O1235" i="99"/>
  <c r="M1331" i="99"/>
  <c r="L1331" i="99" s="1"/>
  <c r="F443" i="99"/>
  <c r="AE434" i="99"/>
  <c r="AE433" i="99"/>
  <c r="AE432" i="99"/>
  <c r="AD416" i="99"/>
  <c r="AE435" i="99"/>
  <c r="AE437" i="99"/>
  <c r="E365" i="99"/>
  <c r="G364" i="99" s="1"/>
  <c r="E343" i="73"/>
  <c r="N343" i="73" s="1"/>
  <c r="K236" i="75"/>
  <c r="AE436" i="99"/>
  <c r="O384" i="72"/>
  <c r="O385" i="72" s="1"/>
  <c r="E348" i="73"/>
  <c r="N348" i="73" s="1"/>
  <c r="M290" i="73"/>
  <c r="L290" i="73" s="1"/>
  <c r="K240" i="75"/>
  <c r="C13" i="84"/>
  <c r="E345" i="73"/>
  <c r="N345" i="73" s="1"/>
  <c r="M293" i="73"/>
  <c r="L293" i="73" s="1"/>
  <c r="K235" i="75"/>
  <c r="J390" i="72"/>
  <c r="L390" i="72" s="1"/>
  <c r="H225" i="72"/>
  <c r="O197" i="73"/>
  <c r="K239" i="75"/>
  <c r="AE123" i="78"/>
  <c r="AE122" i="78"/>
  <c r="K238" i="75"/>
  <c r="O222" i="75"/>
  <c r="J50" i="75"/>
  <c r="AD106" i="78"/>
  <c r="AE125" i="78"/>
  <c r="K237" i="75"/>
  <c r="O221" i="75"/>
  <c r="AE127" i="78"/>
  <c r="F133" i="78"/>
  <c r="AE124" i="78"/>
  <c r="J364" i="72"/>
  <c r="E55" i="78"/>
  <c r="G54" i="78" s="1"/>
  <c r="J49" i="75"/>
  <c r="AE126" i="78"/>
  <c r="P229" i="75"/>
  <c r="J48" i="78"/>
  <c r="E87" i="78"/>
  <c r="D148" i="78"/>
  <c r="P76" i="75"/>
  <c r="J57" i="78"/>
  <c r="P85" i="75"/>
  <c r="P70" i="75"/>
  <c r="P79" i="75"/>
  <c r="P73" i="75"/>
  <c r="Q230" i="75"/>
  <c r="N228" i="75" s="1"/>
  <c r="P88" i="75"/>
  <c r="P82" i="75"/>
  <c r="E397" i="99"/>
  <c r="J358" i="99"/>
  <c r="D458" i="99"/>
  <c r="Q885" i="99"/>
  <c r="O1587" i="99"/>
  <c r="O88" i="72"/>
  <c r="G21" i="86"/>
  <c r="F22" i="86"/>
  <c r="F910" i="99"/>
  <c r="F17" i="74"/>
  <c r="F912" i="99" s="1"/>
  <c r="P1587" i="99"/>
  <c r="P88" i="72"/>
  <c r="K13" i="84"/>
  <c r="P48" i="78"/>
  <c r="P57" i="78"/>
  <c r="G148" i="78"/>
  <c r="P358" i="99"/>
  <c r="G458" i="99"/>
  <c r="G939" i="99"/>
  <c r="H44" i="74"/>
  <c r="AF125" i="78" l="1"/>
  <c r="AH125" i="78" s="1"/>
  <c r="AF435" i="99"/>
  <c r="AH435" i="99" s="1"/>
  <c r="F915" i="99"/>
  <c r="D17" i="74"/>
  <c r="D912" i="99" s="1"/>
  <c r="AF432" i="99"/>
  <c r="AH432" i="99" s="1"/>
  <c r="B928" i="99"/>
  <c r="B929" i="99"/>
  <c r="B933" i="99"/>
  <c r="K809" i="99"/>
  <c r="P705" i="99"/>
  <c r="K720" i="99"/>
  <c r="K708" i="99"/>
  <c r="K726" i="99"/>
  <c r="K717" i="99"/>
  <c r="K714" i="99"/>
  <c r="K711" i="99"/>
  <c r="K723" i="99"/>
  <c r="C72" i="84"/>
  <c r="C76" i="84"/>
  <c r="C73" i="84" s="1"/>
  <c r="P71" i="75"/>
  <c r="P72" i="75" s="1"/>
  <c r="N71" i="75"/>
  <c r="N72" i="75" s="1"/>
  <c r="K71" i="75"/>
  <c r="K72" i="75" s="1"/>
  <c r="L71" i="75"/>
  <c r="L72" i="75" s="1"/>
  <c r="O71" i="75"/>
  <c r="O72" i="75" s="1"/>
  <c r="M71" i="75"/>
  <c r="M72" i="75" s="1"/>
  <c r="H926" i="99"/>
  <c r="H53" i="82"/>
  <c r="I31" i="74"/>
  <c r="D918" i="99"/>
  <c r="E13" i="86"/>
  <c r="F918" i="99"/>
  <c r="F920" i="99" s="1"/>
  <c r="G13" i="86"/>
  <c r="D20" i="74"/>
  <c r="D25" i="74" s="1"/>
  <c r="H21" i="86"/>
  <c r="G22" i="86"/>
  <c r="P83" i="75"/>
  <c r="P84" i="75" s="1"/>
  <c r="N83" i="75"/>
  <c r="N84" i="75" s="1"/>
  <c r="O83" i="75"/>
  <c r="O84" i="75" s="1"/>
  <c r="K83" i="75"/>
  <c r="K84" i="75" s="1"/>
  <c r="M83" i="75"/>
  <c r="M84" i="75" s="1"/>
  <c r="L83" i="75"/>
  <c r="L84" i="75" s="1"/>
  <c r="P77" i="75"/>
  <c r="P78" i="75" s="1"/>
  <c r="N77" i="75"/>
  <c r="N78" i="75" s="1"/>
  <c r="M77" i="75"/>
  <c r="M78" i="75" s="1"/>
  <c r="K77" i="75"/>
  <c r="K78" i="75" s="1"/>
  <c r="L77" i="75"/>
  <c r="L78" i="75" s="1"/>
  <c r="O77" i="75"/>
  <c r="O78" i="75" s="1"/>
  <c r="M365" i="72"/>
  <c r="J365" i="72"/>
  <c r="J366" i="72" s="1"/>
  <c r="B44" i="82"/>
  <c r="B33" i="74"/>
  <c r="B38" i="74"/>
  <c r="B34" i="74"/>
  <c r="C918" i="99"/>
  <c r="D13" i="86"/>
  <c r="G917" i="99"/>
  <c r="G17" i="74"/>
  <c r="D915" i="99"/>
  <c r="D920" i="99" s="1"/>
  <c r="P89" i="75"/>
  <c r="P90" i="75" s="1"/>
  <c r="K89" i="75"/>
  <c r="K90" i="75" s="1"/>
  <c r="N89" i="75"/>
  <c r="N90" i="75" s="1"/>
  <c r="O89" i="75"/>
  <c r="O90" i="75" s="1"/>
  <c r="L89" i="75"/>
  <c r="L90" i="75" s="1"/>
  <c r="M89" i="75"/>
  <c r="M90" i="75" s="1"/>
  <c r="E918" i="99"/>
  <c r="F13" i="86"/>
  <c r="E17" i="74"/>
  <c r="E912" i="99" s="1"/>
  <c r="E915" i="99" s="1"/>
  <c r="E920" i="99" s="1"/>
  <c r="C17" i="74"/>
  <c r="C20" i="74" s="1"/>
  <c r="C25" i="74" s="1"/>
  <c r="G918" i="99"/>
  <c r="H13" i="86"/>
  <c r="H24" i="74"/>
  <c r="H919" i="99" s="1"/>
  <c r="H22" i="74"/>
  <c r="I14" i="74"/>
  <c r="H21" i="74"/>
  <c r="H916" i="99" s="1"/>
  <c r="H15" i="74"/>
  <c r="F935" i="99"/>
  <c r="G40" i="74"/>
  <c r="H10" i="86" s="1"/>
  <c r="H20" i="84"/>
  <c r="C20" i="84"/>
  <c r="P74" i="75"/>
  <c r="P75" i="75" s="1"/>
  <c r="K74" i="75"/>
  <c r="K75" i="75" s="1"/>
  <c r="M74" i="75"/>
  <c r="M75" i="75" s="1"/>
  <c r="L74" i="75"/>
  <c r="L75" i="75" s="1"/>
  <c r="N74" i="75"/>
  <c r="N75" i="75" s="1"/>
  <c r="O74" i="75"/>
  <c r="O75" i="75" s="1"/>
  <c r="AF122" i="78"/>
  <c r="AH122" i="78" s="1"/>
  <c r="E127" i="78" s="1"/>
  <c r="A127" i="78" s="1"/>
  <c r="F39" i="74"/>
  <c r="F934" i="99" s="1"/>
  <c r="G10" i="86"/>
  <c r="P86" i="75"/>
  <c r="P87" i="75" s="1"/>
  <c r="K86" i="75"/>
  <c r="K87" i="75" s="1"/>
  <c r="M86" i="75"/>
  <c r="M87" i="75" s="1"/>
  <c r="O86" i="75"/>
  <c r="O87" i="75" s="1"/>
  <c r="L86" i="75"/>
  <c r="L87" i="75" s="1"/>
  <c r="N86" i="75"/>
  <c r="N87" i="75" s="1"/>
  <c r="H918" i="99"/>
  <c r="I13" i="86"/>
  <c r="O1579" i="99"/>
  <c r="O441" i="72"/>
  <c r="O6" i="72" s="1"/>
  <c r="Z36" i="72"/>
  <c r="Z62" i="72" s="1"/>
  <c r="Y36" i="72"/>
  <c r="Y62" i="72" s="1"/>
  <c r="X36" i="72"/>
  <c r="X62" i="72" s="1"/>
  <c r="P90" i="72"/>
  <c r="AC36" i="72"/>
  <c r="AC62" i="72" s="1"/>
  <c r="AB36" i="72"/>
  <c r="AB62" i="72" s="1"/>
  <c r="P1579" i="99"/>
  <c r="AI36" i="72"/>
  <c r="AI62" i="72" s="1"/>
  <c r="AH36" i="72"/>
  <c r="AH62" i="72" s="1"/>
  <c r="AF36" i="72"/>
  <c r="AF62" i="72" s="1"/>
  <c r="AE36" i="72"/>
  <c r="AE62" i="72" s="1"/>
  <c r="AD36" i="72"/>
  <c r="AD62" i="72" s="1"/>
  <c r="P441" i="72"/>
  <c r="P6" i="72" s="1"/>
  <c r="F20" i="74"/>
  <c r="F25" i="74" s="1"/>
  <c r="P80" i="75"/>
  <c r="P81" i="75" s="1"/>
  <c r="N80" i="75"/>
  <c r="N81" i="75" s="1"/>
  <c r="M80" i="75"/>
  <c r="M81" i="75" s="1"/>
  <c r="K80" i="75"/>
  <c r="K81" i="75" s="1"/>
  <c r="L80" i="75"/>
  <c r="L81" i="75" s="1"/>
  <c r="O80" i="75"/>
  <c r="O81" i="75" s="1"/>
  <c r="D17" i="83"/>
  <c r="F16" i="85"/>
  <c r="F52" i="89"/>
  <c r="H19" i="84"/>
  <c r="A9" i="83"/>
  <c r="C19" i="84"/>
  <c r="J1856" i="99"/>
  <c r="J1857" i="99" s="1"/>
  <c r="M1856" i="99"/>
  <c r="K53" i="84"/>
  <c r="K54" i="84" s="1"/>
  <c r="I53" i="84"/>
  <c r="I54" i="84" s="1"/>
  <c r="G53" i="84"/>
  <c r="G54" i="84" s="1"/>
  <c r="E53" i="84"/>
  <c r="E54" i="84" s="1"/>
  <c r="D39" i="74"/>
  <c r="D934" i="99" s="1"/>
  <c r="E39" i="74"/>
  <c r="E934" i="99" s="1"/>
  <c r="H939" i="99"/>
  <c r="I44" i="74"/>
  <c r="E20" i="74" l="1"/>
  <c r="E25" i="74" s="1"/>
  <c r="E38" i="74" s="1"/>
  <c r="E933" i="99"/>
  <c r="E929" i="99"/>
  <c r="E928" i="99"/>
  <c r="G935" i="99"/>
  <c r="H40" i="74"/>
  <c r="I10" i="86" s="1"/>
  <c r="G912" i="99"/>
  <c r="G915" i="99" s="1"/>
  <c r="G920" i="99" s="1"/>
  <c r="G20" i="74"/>
  <c r="G25" i="74" s="1"/>
  <c r="C9" i="86"/>
  <c r="C17" i="86" s="1"/>
  <c r="C18" i="86" s="1"/>
  <c r="C20" i="86" s="1"/>
  <c r="C24" i="86" s="1"/>
  <c r="K6" i="86" s="1"/>
  <c r="G66" i="86" s="1"/>
  <c r="N92" i="85" s="1"/>
  <c r="S21" i="74"/>
  <c r="AH1527" i="99"/>
  <c r="AH1553" i="99" s="1"/>
  <c r="AF1527" i="99"/>
  <c r="AF1553" i="99" s="1"/>
  <c r="AE1527" i="99"/>
  <c r="AE1553" i="99" s="1"/>
  <c r="AD1527" i="99"/>
  <c r="AD1553" i="99" s="1"/>
  <c r="AI1527" i="99"/>
  <c r="AI1553" i="99" s="1"/>
  <c r="P1932" i="99"/>
  <c r="P1497" i="99" s="1"/>
  <c r="E44" i="82"/>
  <c r="B46" i="82"/>
  <c r="B51" i="82"/>
  <c r="H22" i="86"/>
  <c r="I21" i="86"/>
  <c r="I22" i="86" s="1"/>
  <c r="I926" i="99"/>
  <c r="I53" i="82"/>
  <c r="J31" i="74"/>
  <c r="F44" i="82"/>
  <c r="F38" i="74"/>
  <c r="F34" i="74"/>
  <c r="F33" i="74"/>
  <c r="G9" i="86" s="1"/>
  <c r="G17" i="86" s="1"/>
  <c r="G18" i="86" s="1"/>
  <c r="G20" i="86" s="1"/>
  <c r="G24" i="86" s="1"/>
  <c r="K10" i="86" s="1"/>
  <c r="G56" i="84"/>
  <c r="G64" i="84" s="1"/>
  <c r="G70" i="84" s="1"/>
  <c r="G39" i="74"/>
  <c r="G934" i="99" s="1"/>
  <c r="K56" i="84"/>
  <c r="K64" i="84" s="1"/>
  <c r="K70" i="84" s="1"/>
  <c r="C912" i="99"/>
  <c r="C915" i="99" s="1"/>
  <c r="C920" i="99" s="1"/>
  <c r="C39" i="74"/>
  <c r="C934" i="99" s="1"/>
  <c r="D44" i="82"/>
  <c r="D33" i="74"/>
  <c r="E9" i="86" s="1"/>
  <c r="E17" i="86" s="1"/>
  <c r="E18" i="86" s="1"/>
  <c r="E20" i="86" s="1"/>
  <c r="E24" i="86" s="1"/>
  <c r="K8" i="86" s="1"/>
  <c r="D38" i="74"/>
  <c r="D34" i="74"/>
  <c r="K878" i="99"/>
  <c r="K873" i="99"/>
  <c r="K874" i="99"/>
  <c r="J688" i="99"/>
  <c r="J687" i="99"/>
  <c r="K875" i="99"/>
  <c r="O859" i="99"/>
  <c r="K876" i="99"/>
  <c r="O860" i="99"/>
  <c r="K877" i="99"/>
  <c r="P867" i="99"/>
  <c r="P714" i="99"/>
  <c r="P726" i="99"/>
  <c r="P708" i="99"/>
  <c r="P711" i="99"/>
  <c r="P723" i="99"/>
  <c r="P720" i="99"/>
  <c r="P717" i="99"/>
  <c r="Z1527" i="99"/>
  <c r="Z1553" i="99" s="1"/>
  <c r="O1932" i="99"/>
  <c r="O1497" i="99" s="1"/>
  <c r="X1527" i="99"/>
  <c r="X1553" i="99" s="1"/>
  <c r="P1581" i="99"/>
  <c r="AC1527" i="99"/>
  <c r="AC1553" i="99" s="1"/>
  <c r="AB1527" i="99"/>
  <c r="AB1553" i="99" s="1"/>
  <c r="Y1527" i="99"/>
  <c r="Y1553" i="99" s="1"/>
  <c r="H910" i="99"/>
  <c r="H17" i="74"/>
  <c r="H912" i="99" s="1"/>
  <c r="H20" i="74"/>
  <c r="H25" i="74" s="1"/>
  <c r="F928" i="99"/>
  <c r="F933" i="99"/>
  <c r="F929" i="99"/>
  <c r="I56" i="84"/>
  <c r="I64" i="84" s="1"/>
  <c r="I70" i="84" s="1"/>
  <c r="C44" i="82"/>
  <c r="C33" i="74"/>
  <c r="D9" i="86" s="1"/>
  <c r="D17" i="86" s="1"/>
  <c r="D18" i="86" s="1"/>
  <c r="D20" i="86" s="1"/>
  <c r="D24" i="86" s="1"/>
  <c r="K7" i="86" s="1"/>
  <c r="C38" i="74"/>
  <c r="C34" i="74"/>
  <c r="I24" i="74"/>
  <c r="I919" i="99" s="1"/>
  <c r="I22" i="74"/>
  <c r="J14" i="74"/>
  <c r="I21" i="74"/>
  <c r="I916" i="99" s="1"/>
  <c r="I15" i="74"/>
  <c r="I16" i="74"/>
  <c r="I911" i="99" s="1"/>
  <c r="I23" i="74"/>
  <c r="E56" i="84"/>
  <c r="E64" i="84" s="1"/>
  <c r="E70" i="84" s="1"/>
  <c r="H917" i="99"/>
  <c r="H39" i="74"/>
  <c r="H934" i="99" s="1"/>
  <c r="D928" i="99"/>
  <c r="D933" i="99"/>
  <c r="D929" i="99"/>
  <c r="S916" i="99"/>
  <c r="I939" i="99"/>
  <c r="J44" i="74"/>
  <c r="E33" i="74" l="1"/>
  <c r="F9" i="86" s="1"/>
  <c r="F17" i="86" s="1"/>
  <c r="F18" i="86" s="1"/>
  <c r="F20" i="86" s="1"/>
  <c r="F24" i="86" s="1"/>
  <c r="K9" i="86" s="1"/>
  <c r="E34" i="74"/>
  <c r="I917" i="99"/>
  <c r="P709" i="99"/>
  <c r="P710" i="99" s="1"/>
  <c r="O709" i="99"/>
  <c r="O710" i="99" s="1"/>
  <c r="M709" i="99"/>
  <c r="M710" i="99" s="1"/>
  <c r="L709" i="99"/>
  <c r="L710" i="99" s="1"/>
  <c r="N709" i="99"/>
  <c r="N710" i="99" s="1"/>
  <c r="K709" i="99"/>
  <c r="K710" i="99" s="1"/>
  <c r="G44" i="82"/>
  <c r="G33" i="74"/>
  <c r="G38" i="74"/>
  <c r="G34" i="74"/>
  <c r="P727" i="99"/>
  <c r="P728" i="99" s="1"/>
  <c r="N727" i="99"/>
  <c r="N728" i="99" s="1"/>
  <c r="O727" i="99"/>
  <c r="O728" i="99" s="1"/>
  <c r="M727" i="99"/>
  <c r="M728" i="99" s="1"/>
  <c r="K727" i="99"/>
  <c r="K728" i="99" s="1"/>
  <c r="L727" i="99"/>
  <c r="L728" i="99" s="1"/>
  <c r="F51" i="82"/>
  <c r="F46" i="82"/>
  <c r="I918" i="99"/>
  <c r="C33" i="86"/>
  <c r="C928" i="99"/>
  <c r="C933" i="99"/>
  <c r="C929" i="99"/>
  <c r="J926" i="99"/>
  <c r="J53" i="82"/>
  <c r="K31" i="74"/>
  <c r="E72" i="84"/>
  <c r="E76" i="84"/>
  <c r="E73" i="84" s="1"/>
  <c r="H44" i="82"/>
  <c r="H33" i="74"/>
  <c r="I9" i="86" s="1"/>
  <c r="I17" i="86" s="1"/>
  <c r="I18" i="86" s="1"/>
  <c r="I20" i="86" s="1"/>
  <c r="I24" i="86" s="1"/>
  <c r="K12" i="86" s="1"/>
  <c r="H34" i="74"/>
  <c r="H38" i="74"/>
  <c r="P715" i="99"/>
  <c r="P716" i="99" s="1"/>
  <c r="L715" i="99"/>
  <c r="L716" i="99" s="1"/>
  <c r="N715" i="99"/>
  <c r="N716" i="99" s="1"/>
  <c r="M715" i="99"/>
  <c r="M716" i="99" s="1"/>
  <c r="K715" i="99"/>
  <c r="K716" i="99" s="1"/>
  <c r="O715" i="99"/>
  <c r="O716" i="99" s="1"/>
  <c r="H915" i="99"/>
  <c r="H920" i="99" s="1"/>
  <c r="P718" i="99"/>
  <c r="P719" i="99" s="1"/>
  <c r="O718" i="99"/>
  <c r="O719" i="99" s="1"/>
  <c r="L718" i="99"/>
  <c r="L719" i="99" s="1"/>
  <c r="K718" i="99"/>
  <c r="K719" i="99" s="1"/>
  <c r="N718" i="99"/>
  <c r="N719" i="99" s="1"/>
  <c r="M718" i="99"/>
  <c r="M719" i="99" s="1"/>
  <c r="K72" i="84"/>
  <c r="K76" i="84"/>
  <c r="K73" i="84" s="1"/>
  <c r="S22" i="74"/>
  <c r="H935" i="99"/>
  <c r="I40" i="74"/>
  <c r="I910" i="99"/>
  <c r="I17" i="74"/>
  <c r="I912" i="99" s="1"/>
  <c r="C51" i="82"/>
  <c r="C46" i="82"/>
  <c r="P721" i="99"/>
  <c r="P722" i="99" s="1"/>
  <c r="K721" i="99"/>
  <c r="K722" i="99" s="1"/>
  <c r="N721" i="99"/>
  <c r="N722" i="99" s="1"/>
  <c r="L721" i="99"/>
  <c r="L722" i="99" s="1"/>
  <c r="M721" i="99"/>
  <c r="M722" i="99" s="1"/>
  <c r="O721" i="99"/>
  <c r="O722" i="99" s="1"/>
  <c r="E51" i="82"/>
  <c r="E46" i="82"/>
  <c r="G928" i="99"/>
  <c r="G933" i="99"/>
  <c r="G929" i="99"/>
  <c r="I72" i="84"/>
  <c r="I76" i="84"/>
  <c r="I73" i="84" s="1"/>
  <c r="P724" i="99"/>
  <c r="P725" i="99" s="1"/>
  <c r="O724" i="99"/>
  <c r="O725" i="99" s="1"/>
  <c r="L724" i="99"/>
  <c r="L725" i="99" s="1"/>
  <c r="M724" i="99"/>
  <c r="M725" i="99" s="1"/>
  <c r="K724" i="99"/>
  <c r="K725" i="99" s="1"/>
  <c r="N724" i="99"/>
  <c r="N725" i="99" s="1"/>
  <c r="G72" i="84"/>
  <c r="G76" i="84"/>
  <c r="G73" i="84" s="1"/>
  <c r="S23" i="74"/>
  <c r="D51" i="82"/>
  <c r="D46" i="82"/>
  <c r="J24" i="74"/>
  <c r="J919" i="99" s="1"/>
  <c r="J22" i="74"/>
  <c r="K14" i="74"/>
  <c r="J21" i="74"/>
  <c r="J916" i="99" s="1"/>
  <c r="J15" i="74"/>
  <c r="J16" i="74"/>
  <c r="J911" i="99" s="1"/>
  <c r="J23" i="74"/>
  <c r="P712" i="99"/>
  <c r="P713" i="99" s="1"/>
  <c r="M712" i="99"/>
  <c r="M713" i="99" s="1"/>
  <c r="N712" i="99"/>
  <c r="N713" i="99" s="1"/>
  <c r="K712" i="99"/>
  <c r="K713" i="99" s="1"/>
  <c r="L712" i="99"/>
  <c r="L713" i="99" s="1"/>
  <c r="O712" i="99"/>
  <c r="O713" i="99" s="1"/>
  <c r="J939" i="99"/>
  <c r="K44" i="74"/>
  <c r="S25" i="74" l="1"/>
  <c r="S24" i="74"/>
  <c r="S26" i="74"/>
  <c r="S27" i="74"/>
  <c r="I20" i="74"/>
  <c r="I25" i="74" s="1"/>
  <c r="H929" i="99"/>
  <c r="H928" i="99"/>
  <c r="S922" i="99" s="1"/>
  <c r="H933" i="99"/>
  <c r="K926" i="99"/>
  <c r="B63" i="74"/>
  <c r="K53" i="82"/>
  <c r="I915" i="99"/>
  <c r="I920" i="99" s="1"/>
  <c r="I935" i="99"/>
  <c r="J40" i="74"/>
  <c r="H46" i="82"/>
  <c r="H51" i="82"/>
  <c r="H9" i="86"/>
  <c r="H17" i="86" s="1"/>
  <c r="H18" i="86" s="1"/>
  <c r="H20" i="86" s="1"/>
  <c r="H24" i="86" s="1"/>
  <c r="K11" i="86" s="1"/>
  <c r="J918" i="99"/>
  <c r="D33" i="86"/>
  <c r="C30" i="86"/>
  <c r="G46" i="82"/>
  <c r="G51" i="82"/>
  <c r="J917" i="99"/>
  <c r="J910" i="99"/>
  <c r="J17" i="74"/>
  <c r="J912" i="99" s="1"/>
  <c r="S917" i="99"/>
  <c r="S920" i="99"/>
  <c r="S919" i="99"/>
  <c r="S918" i="99"/>
  <c r="S921" i="99"/>
  <c r="I39" i="74"/>
  <c r="I934" i="99" s="1"/>
  <c r="B46" i="74"/>
  <c r="K24" i="74"/>
  <c r="K919" i="99" s="1"/>
  <c r="K22" i="74"/>
  <c r="K21" i="74"/>
  <c r="K916" i="99" s="1"/>
  <c r="K15" i="74"/>
  <c r="K23" i="74"/>
  <c r="K16" i="74"/>
  <c r="K911" i="99" s="1"/>
  <c r="K939" i="99"/>
  <c r="B76" i="74"/>
  <c r="J20" i="74" l="1"/>
  <c r="J25" i="74" s="1"/>
  <c r="B958" i="99"/>
  <c r="B73" i="82"/>
  <c r="C63" i="74"/>
  <c r="J915" i="99"/>
  <c r="J920" i="99" s="1"/>
  <c r="J935" i="99"/>
  <c r="K40" i="74"/>
  <c r="E30" i="86" s="1"/>
  <c r="K910" i="99"/>
  <c r="K17" i="74"/>
  <c r="K912" i="99" s="1"/>
  <c r="K20" i="74"/>
  <c r="K25" i="74" s="1"/>
  <c r="B54" i="74"/>
  <c r="B56" i="74"/>
  <c r="B951" i="99" s="1"/>
  <c r="C46" i="74"/>
  <c r="B53" i="74"/>
  <c r="B948" i="99" s="1"/>
  <c r="B47" i="74"/>
  <c r="B48" i="74"/>
  <c r="B943" i="99" s="1"/>
  <c r="B55" i="74"/>
  <c r="D30" i="86"/>
  <c r="K917" i="99"/>
  <c r="K39" i="74"/>
  <c r="K934" i="99" s="1"/>
  <c r="J39" i="74"/>
  <c r="J934" i="99" s="1"/>
  <c r="K918" i="99"/>
  <c r="E33" i="86"/>
  <c r="I44" i="82"/>
  <c r="I33" i="74"/>
  <c r="I34" i="74"/>
  <c r="I38" i="74"/>
  <c r="I929" i="99"/>
  <c r="I933" i="99"/>
  <c r="I928" i="99"/>
  <c r="B971" i="99"/>
  <c r="C76" i="74"/>
  <c r="C56" i="74" l="1"/>
  <c r="C951" i="99" s="1"/>
  <c r="D46" i="74"/>
  <c r="C54" i="74"/>
  <c r="C53" i="74"/>
  <c r="C948" i="99" s="1"/>
  <c r="C47" i="74"/>
  <c r="C48" i="74"/>
  <c r="C943" i="99" s="1"/>
  <c r="C55" i="74"/>
  <c r="J928" i="99"/>
  <c r="S924" i="99" s="1"/>
  <c r="J929" i="99"/>
  <c r="J933" i="99"/>
  <c r="B949" i="99"/>
  <c r="C958" i="99"/>
  <c r="C73" i="82"/>
  <c r="D63" i="74"/>
  <c r="C29" i="86"/>
  <c r="C37" i="86" s="1"/>
  <c r="C38" i="86" s="1"/>
  <c r="C40" i="86" s="1"/>
  <c r="C44" i="86" s="1"/>
  <c r="K13" i="86" s="1"/>
  <c r="S28" i="74"/>
  <c r="K44" i="82"/>
  <c r="K38" i="74"/>
  <c r="K33" i="74"/>
  <c r="E29" i="86" s="1"/>
  <c r="E37" i="86" s="1"/>
  <c r="E38" i="86" s="1"/>
  <c r="E40" i="86" s="1"/>
  <c r="E44" i="86" s="1"/>
  <c r="K15" i="86" s="1"/>
  <c r="K34" i="74"/>
  <c r="I46" i="82"/>
  <c r="I51" i="82"/>
  <c r="B950" i="99"/>
  <c r="F33" i="86"/>
  <c r="K915" i="99"/>
  <c r="K920" i="99" s="1"/>
  <c r="J44" i="82"/>
  <c r="J33" i="74"/>
  <c r="D29" i="86" s="1"/>
  <c r="D37" i="86" s="1"/>
  <c r="D38" i="86" s="1"/>
  <c r="D40" i="86" s="1"/>
  <c r="D44" i="86" s="1"/>
  <c r="K14" i="86" s="1"/>
  <c r="J34" i="74"/>
  <c r="J38" i="74"/>
  <c r="S923" i="99"/>
  <c r="B942" i="99"/>
  <c r="B49" i="74"/>
  <c r="B944" i="99" s="1"/>
  <c r="B52" i="74"/>
  <c r="B57" i="74" s="1"/>
  <c r="K935" i="99"/>
  <c r="B72" i="74"/>
  <c r="C971" i="99"/>
  <c r="D76" i="74"/>
  <c r="B64" i="82" l="1"/>
  <c r="B65" i="74"/>
  <c r="B70" i="74"/>
  <c r="B66" i="74"/>
  <c r="K933" i="99"/>
  <c r="K929" i="99"/>
  <c r="K928" i="99"/>
  <c r="K51" i="82"/>
  <c r="K46" i="82"/>
  <c r="C942" i="99"/>
  <c r="C49" i="74"/>
  <c r="C944" i="99" s="1"/>
  <c r="B71" i="74"/>
  <c r="B966" i="99" s="1"/>
  <c r="D958" i="99"/>
  <c r="D73" i="82"/>
  <c r="E63" i="74"/>
  <c r="B967" i="99"/>
  <c r="C72" i="74"/>
  <c r="G30" i="86" s="1"/>
  <c r="C949" i="99"/>
  <c r="B947" i="99"/>
  <c r="B952" i="99" s="1"/>
  <c r="D56" i="74"/>
  <c r="D951" i="99" s="1"/>
  <c r="E46" i="74"/>
  <c r="D54" i="74"/>
  <c r="D53" i="74"/>
  <c r="D948" i="99" s="1"/>
  <c r="D47" i="74"/>
  <c r="D48" i="74"/>
  <c r="D943" i="99" s="1"/>
  <c r="D55" i="74"/>
  <c r="C950" i="99"/>
  <c r="G33" i="86"/>
  <c r="J46" i="82"/>
  <c r="J51" i="82"/>
  <c r="F30" i="86"/>
  <c r="S29" i="74"/>
  <c r="S30" i="74"/>
  <c r="D971" i="99"/>
  <c r="E76" i="74"/>
  <c r="C52" i="74" l="1"/>
  <c r="C57" i="74" s="1"/>
  <c r="C64" i="82" s="1"/>
  <c r="C947" i="99"/>
  <c r="B25" i="82"/>
  <c r="J52" i="82" s="1"/>
  <c r="J54" i="82" s="1"/>
  <c r="D950" i="99"/>
  <c r="H33" i="86"/>
  <c r="C967" i="99"/>
  <c r="H30" i="86"/>
  <c r="D72" i="74"/>
  <c r="C952" i="99"/>
  <c r="S31" i="74"/>
  <c r="F29" i="86"/>
  <c r="F37" i="86" s="1"/>
  <c r="F38" i="86" s="1"/>
  <c r="F40" i="86" s="1"/>
  <c r="F44" i="86" s="1"/>
  <c r="K16" i="86" s="1"/>
  <c r="E958" i="99"/>
  <c r="E73" i="82"/>
  <c r="F63" i="74"/>
  <c r="B66" i="82"/>
  <c r="B71" i="82"/>
  <c r="D949" i="99"/>
  <c r="B960" i="99"/>
  <c r="B961" i="99"/>
  <c r="B965" i="99"/>
  <c r="D942" i="99"/>
  <c r="D49" i="74"/>
  <c r="D944" i="99" s="1"/>
  <c r="D52" i="74"/>
  <c r="D57" i="74" s="1"/>
  <c r="E56" i="74"/>
  <c r="E951" i="99" s="1"/>
  <c r="F46" i="74"/>
  <c r="E54" i="74"/>
  <c r="E53" i="74"/>
  <c r="E948" i="99" s="1"/>
  <c r="E47" i="74"/>
  <c r="E48" i="74"/>
  <c r="E943" i="99" s="1"/>
  <c r="E55" i="74"/>
  <c r="C71" i="74"/>
  <c r="C966" i="99" s="1"/>
  <c r="S925" i="99"/>
  <c r="E971" i="99"/>
  <c r="F76" i="74"/>
  <c r="C70" i="74" l="1"/>
  <c r="C66" i="74"/>
  <c r="C65" i="74"/>
  <c r="F72" i="82"/>
  <c r="H72" i="82"/>
  <c r="I72" i="82"/>
  <c r="B26" i="82"/>
  <c r="B5" i="82" s="1"/>
  <c r="B6" i="82" s="1"/>
  <c r="B7" i="82" s="1"/>
  <c r="E72" i="82"/>
  <c r="B72" i="82"/>
  <c r="J72" i="82"/>
  <c r="G52" i="82"/>
  <c r="G54" i="82" s="1"/>
  <c r="G55" i="82" s="1"/>
  <c r="G56" i="82" s="1"/>
  <c r="K72" i="82"/>
  <c r="I52" i="82"/>
  <c r="I54" i="82" s="1"/>
  <c r="H52" i="82"/>
  <c r="H54" i="82" s="1"/>
  <c r="H55" i="82" s="1"/>
  <c r="H56" i="82" s="1"/>
  <c r="D52" i="82"/>
  <c r="D54" i="82" s="1"/>
  <c r="D55" i="82" s="1"/>
  <c r="D56" i="82" s="1"/>
  <c r="G72" i="82"/>
  <c r="B74" i="82"/>
  <c r="B75" i="82" s="1"/>
  <c r="B76" i="82" s="1"/>
  <c r="F52" i="82"/>
  <c r="F54" i="82" s="1"/>
  <c r="F55" i="82" s="1"/>
  <c r="F56" i="82" s="1"/>
  <c r="D72" i="82"/>
  <c r="B52" i="82"/>
  <c r="B54" i="82" s="1"/>
  <c r="B55" i="82" s="1"/>
  <c r="B56" i="82" s="1"/>
  <c r="C52" i="82"/>
  <c r="C54" i="82" s="1"/>
  <c r="C55" i="82" s="1"/>
  <c r="C56" i="82" s="1"/>
  <c r="E52" i="82"/>
  <c r="E54" i="82" s="1"/>
  <c r="E55" i="82" s="1"/>
  <c r="E56" i="82" s="1"/>
  <c r="C72" i="82"/>
  <c r="K52" i="82"/>
  <c r="K54" i="82" s="1"/>
  <c r="K55" i="82" s="1"/>
  <c r="K56" i="82" s="1"/>
  <c r="D947" i="99"/>
  <c r="D952" i="99" s="1"/>
  <c r="E942" i="99"/>
  <c r="E49" i="74"/>
  <c r="E944" i="99" s="1"/>
  <c r="F958" i="99"/>
  <c r="G63" i="74"/>
  <c r="F73" i="82"/>
  <c r="I55" i="82"/>
  <c r="I56" i="82" s="1"/>
  <c r="D64" i="82"/>
  <c r="D65" i="74"/>
  <c r="D70" i="74"/>
  <c r="D66" i="74"/>
  <c r="S926" i="99"/>
  <c r="E949" i="99"/>
  <c r="E71" i="74"/>
  <c r="E966" i="99" s="1"/>
  <c r="D71" i="74"/>
  <c r="D966" i="99" s="1"/>
  <c r="E950" i="99"/>
  <c r="I33" i="86"/>
  <c r="F56" i="74"/>
  <c r="F951" i="99" s="1"/>
  <c r="G46" i="74"/>
  <c r="F54" i="74"/>
  <c r="F53" i="74"/>
  <c r="F948" i="99" s="1"/>
  <c r="F47" i="74"/>
  <c r="F55" i="74"/>
  <c r="F48" i="74"/>
  <c r="F943" i="99" s="1"/>
  <c r="C960" i="99"/>
  <c r="C961" i="99"/>
  <c r="C965" i="99"/>
  <c r="G29" i="86"/>
  <c r="G37" i="86" s="1"/>
  <c r="G38" i="86" s="1"/>
  <c r="G40" i="86" s="1"/>
  <c r="G44" i="86" s="1"/>
  <c r="K17" i="86" s="1"/>
  <c r="S32" i="74"/>
  <c r="J55" i="82"/>
  <c r="J56" i="82" s="1"/>
  <c r="D967" i="99"/>
  <c r="E72" i="74"/>
  <c r="C66" i="82"/>
  <c r="C71" i="82"/>
  <c r="G76" i="74"/>
  <c r="G971" i="99" s="1"/>
  <c r="F971" i="99"/>
  <c r="B9" i="82" l="1"/>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958" i="99"/>
  <c r="G73" i="82"/>
  <c r="H63" i="74"/>
  <c r="F949" i="99"/>
  <c r="D960" i="99"/>
  <c r="S928" i="99" s="1"/>
  <c r="D965" i="99"/>
  <c r="D961" i="99"/>
  <c r="D66" i="82"/>
  <c r="D71" i="82"/>
  <c r="D74" i="82" s="1"/>
  <c r="H29" i="86"/>
  <c r="H37" i="86" s="1"/>
  <c r="H38" i="86" s="1"/>
  <c r="H40" i="86" s="1"/>
  <c r="H44" i="86" s="1"/>
  <c r="K18" i="86" s="1"/>
  <c r="S33" i="74"/>
  <c r="H46" i="74"/>
  <c r="G54" i="74"/>
  <c r="G56" i="74"/>
  <c r="G951" i="99" s="1"/>
  <c r="G53" i="74"/>
  <c r="G948" i="99" s="1"/>
  <c r="G47" i="74"/>
  <c r="G55" i="74"/>
  <c r="G48" i="74"/>
  <c r="G943" i="99" s="1"/>
  <c r="E52" i="74"/>
  <c r="E57" i="74" s="1"/>
  <c r="E947" i="99"/>
  <c r="E952" i="99" s="1"/>
  <c r="S927" i="99"/>
  <c r="E967" i="99"/>
  <c r="F72" i="74"/>
  <c r="I30" i="86"/>
  <c r="F950" i="99"/>
  <c r="C53" i="86"/>
  <c r="F942" i="99"/>
  <c r="F49" i="74"/>
  <c r="F944" i="99" s="1"/>
  <c r="B29" i="82"/>
  <c r="G21" i="82"/>
  <c r="G950" i="99" l="1"/>
  <c r="D53" i="86"/>
  <c r="F967" i="99"/>
  <c r="G72" i="74"/>
  <c r="G942" i="99"/>
  <c r="G49" i="74"/>
  <c r="G944" i="99" s="1"/>
  <c r="F71" i="74"/>
  <c r="F966" i="99" s="1"/>
  <c r="F52" i="74"/>
  <c r="F57" i="74" s="1"/>
  <c r="H958" i="99"/>
  <c r="H73" i="82"/>
  <c r="I63" i="74"/>
  <c r="E64" i="82"/>
  <c r="E70" i="74"/>
  <c r="E65" i="74"/>
  <c r="E66" i="74"/>
  <c r="D75" i="82"/>
  <c r="D76" i="82" s="1"/>
  <c r="C50" i="86"/>
  <c r="F947" i="99"/>
  <c r="F952" i="99" s="1"/>
  <c r="E960" i="99"/>
  <c r="S929" i="99" s="1"/>
  <c r="E965" i="99"/>
  <c r="E961" i="99"/>
  <c r="G949" i="99"/>
  <c r="I46" i="74"/>
  <c r="H54" i="74"/>
  <c r="H56" i="74"/>
  <c r="H951" i="99" s="1"/>
  <c r="H53" i="74"/>
  <c r="H948" i="99" s="1"/>
  <c r="H47" i="74"/>
  <c r="H48" i="74"/>
  <c r="H943" i="99" s="1"/>
  <c r="H55" i="74"/>
  <c r="I29" i="86" l="1"/>
  <c r="I37" i="86" s="1"/>
  <c r="I38" i="86" s="1"/>
  <c r="I40" i="86" s="1"/>
  <c r="I44" i="86" s="1"/>
  <c r="K19" i="86" s="1"/>
  <c r="S34" i="74"/>
  <c r="G947" i="99"/>
  <c r="G952" i="99" s="1"/>
  <c r="H942" i="99"/>
  <c r="H49" i="74"/>
  <c r="H944" i="99" s="1"/>
  <c r="E66" i="82"/>
  <c r="E71" i="82"/>
  <c r="E74" i="82" s="1"/>
  <c r="I958" i="99"/>
  <c r="I73" i="82"/>
  <c r="J63" i="74"/>
  <c r="G967" i="99"/>
  <c r="H72" i="74"/>
  <c r="D50" i="86"/>
  <c r="D57" i="86" s="1"/>
  <c r="D58" i="86" s="1"/>
  <c r="D60" i="86" s="1"/>
  <c r="D64" i="86" s="1"/>
  <c r="K21" i="86" s="1"/>
  <c r="F960" i="99"/>
  <c r="S930" i="99" s="1"/>
  <c r="F965" i="99"/>
  <c r="F961" i="99"/>
  <c r="H949" i="99"/>
  <c r="J46" i="74"/>
  <c r="I54" i="74"/>
  <c r="I56" i="74"/>
  <c r="I951" i="99" s="1"/>
  <c r="I53" i="74"/>
  <c r="I948" i="99" s="1"/>
  <c r="I47" i="74"/>
  <c r="I55" i="74"/>
  <c r="I48" i="74"/>
  <c r="I943" i="99" s="1"/>
  <c r="G71" i="74"/>
  <c r="G966" i="99" s="1"/>
  <c r="F64" i="82"/>
  <c r="F66" i="74"/>
  <c r="F65" i="74"/>
  <c r="F70" i="74"/>
  <c r="G52" i="74"/>
  <c r="G57" i="74" s="1"/>
  <c r="H950" i="99"/>
  <c r="E53" i="86"/>
  <c r="E75" i="82" l="1"/>
  <c r="E76" i="82" s="1"/>
  <c r="H967" i="99"/>
  <c r="I72" i="74"/>
  <c r="H52" i="74"/>
  <c r="H57" i="74" s="1"/>
  <c r="C49" i="86"/>
  <c r="C57" i="86" s="1"/>
  <c r="C58" i="86" s="1"/>
  <c r="C60" i="86" s="1"/>
  <c r="C64" i="86" s="1"/>
  <c r="K20" i="86" s="1"/>
  <c r="S35" i="74"/>
  <c r="F47" i="68" s="1"/>
  <c r="I949" i="99"/>
  <c r="H71" i="74"/>
  <c r="H966" i="99" s="1"/>
  <c r="J958" i="99"/>
  <c r="J73" i="82"/>
  <c r="K63" i="74"/>
  <c r="G960" i="99"/>
  <c r="S931" i="99" s="1"/>
  <c r="G965" i="99"/>
  <c r="G961" i="99"/>
  <c r="F71" i="82"/>
  <c r="F74" i="82" s="1"/>
  <c r="F66" i="82"/>
  <c r="J54" i="74"/>
  <c r="J56" i="74"/>
  <c r="J951" i="99" s="1"/>
  <c r="K46" i="74"/>
  <c r="J53" i="74"/>
  <c r="J948" i="99" s="1"/>
  <c r="J47" i="74"/>
  <c r="J55" i="74"/>
  <c r="J48" i="74"/>
  <c r="J943" i="99" s="1"/>
  <c r="E50" i="86"/>
  <c r="E57" i="86" s="1"/>
  <c r="E58" i="86" s="1"/>
  <c r="E60" i="86" s="1"/>
  <c r="E64" i="86" s="1"/>
  <c r="K22" i="86" s="1"/>
  <c r="H947" i="99"/>
  <c r="H952" i="99" s="1"/>
  <c r="I950" i="99"/>
  <c r="F53" i="86"/>
  <c r="G64" i="82"/>
  <c r="G65" i="74"/>
  <c r="S36" i="74" s="1"/>
  <c r="G70" i="74"/>
  <c r="G66" i="74"/>
  <c r="I942" i="99"/>
  <c r="I49" i="74"/>
  <c r="I944" i="99" s="1"/>
  <c r="J942" i="99" l="1"/>
  <c r="J947" i="99" s="1"/>
  <c r="J49" i="74"/>
  <c r="J944" i="99" s="1"/>
  <c r="J52" i="74"/>
  <c r="J57" i="74" s="1"/>
  <c r="F289" i="99"/>
  <c r="L47" i="68"/>
  <c r="G71" i="82"/>
  <c r="G74" i="82" s="1"/>
  <c r="G66" i="82"/>
  <c r="B78" i="74"/>
  <c r="K56" i="74"/>
  <c r="K951" i="99" s="1"/>
  <c r="K54" i="74"/>
  <c r="K53" i="74"/>
  <c r="K948" i="99" s="1"/>
  <c r="K47" i="74"/>
  <c r="K55" i="74"/>
  <c r="K48" i="74"/>
  <c r="K943" i="99" s="1"/>
  <c r="K958" i="99"/>
  <c r="K73" i="82"/>
  <c r="B95" i="74"/>
  <c r="H64" i="82"/>
  <c r="H65" i="74"/>
  <c r="S37" i="74" s="1"/>
  <c r="H70" i="74"/>
  <c r="H66" i="74"/>
  <c r="I52" i="74"/>
  <c r="I57" i="74" s="1"/>
  <c r="I967" i="99"/>
  <c r="J72" i="74"/>
  <c r="G50" i="86" s="1"/>
  <c r="J949" i="99"/>
  <c r="J71" i="74"/>
  <c r="J966" i="99" s="1"/>
  <c r="F50" i="86"/>
  <c r="F57" i="86" s="1"/>
  <c r="F58" i="86" s="1"/>
  <c r="F60" i="86" s="1"/>
  <c r="F64" i="86" s="1"/>
  <c r="K23" i="86" s="1"/>
  <c r="H960" i="99"/>
  <c r="S932" i="99" s="1"/>
  <c r="H965" i="99"/>
  <c r="H961" i="99"/>
  <c r="I947" i="99"/>
  <c r="I952" i="99" s="1"/>
  <c r="F75" i="82"/>
  <c r="F76" i="82" s="1"/>
  <c r="I71" i="74"/>
  <c r="I966" i="99" s="1"/>
  <c r="J950" i="99"/>
  <c r="G53" i="86"/>
  <c r="I64" i="82" l="1"/>
  <c r="I65" i="74"/>
  <c r="S38" i="74" s="1"/>
  <c r="I70" i="74"/>
  <c r="I66" i="74"/>
  <c r="G57" i="86"/>
  <c r="G58" i="86" s="1"/>
  <c r="G60" i="86" s="1"/>
  <c r="G64" i="86" s="1"/>
  <c r="K24" i="86" s="1"/>
  <c r="C78" i="74"/>
  <c r="B86" i="74"/>
  <c r="B88" i="74"/>
  <c r="B983" i="99" s="1"/>
  <c r="B85" i="74"/>
  <c r="B980" i="99" s="1"/>
  <c r="B79" i="74"/>
  <c r="B87" i="74"/>
  <c r="B982" i="99" s="1"/>
  <c r="B80" i="74"/>
  <c r="B975" i="99" s="1"/>
  <c r="I960" i="99"/>
  <c r="S933" i="99" s="1"/>
  <c r="I961" i="99"/>
  <c r="I965" i="99"/>
  <c r="G75" i="82"/>
  <c r="G76" i="82" s="1"/>
  <c r="K950" i="99"/>
  <c r="H53" i="86"/>
  <c r="L289" i="99"/>
  <c r="F85" i="92"/>
  <c r="F89" i="92" s="1"/>
  <c r="F105" i="92" s="1"/>
  <c r="K942" i="99"/>
  <c r="K49" i="74"/>
  <c r="K944" i="99" s="1"/>
  <c r="J64" i="82"/>
  <c r="J65" i="74"/>
  <c r="S39" i="74" s="1"/>
  <c r="J70" i="74"/>
  <c r="J66" i="74"/>
  <c r="H71" i="82"/>
  <c r="H74" i="82" s="1"/>
  <c r="H66" i="82"/>
  <c r="K949" i="99"/>
  <c r="K71" i="74"/>
  <c r="K966" i="99" s="1"/>
  <c r="J967" i="99"/>
  <c r="K72" i="74"/>
  <c r="B990" i="99"/>
  <c r="C95" i="74"/>
  <c r="J952" i="99"/>
  <c r="K947" i="99" l="1"/>
  <c r="K952" i="99" s="1"/>
  <c r="K960" i="99" s="1"/>
  <c r="K52" i="74"/>
  <c r="K57" i="74" s="1"/>
  <c r="B981" i="99"/>
  <c r="J960" i="99"/>
  <c r="S934" i="99" s="1"/>
  <c r="J965" i="99"/>
  <c r="J961" i="99"/>
  <c r="H75" i="82"/>
  <c r="H76" i="82" s="1"/>
  <c r="C990" i="99"/>
  <c r="D95" i="74"/>
  <c r="B974" i="99"/>
  <c r="B81" i="74"/>
  <c r="B976" i="99" s="1"/>
  <c r="B84" i="74"/>
  <c r="B89" i="74" s="1"/>
  <c r="C86" i="74"/>
  <c r="C88" i="74"/>
  <c r="C983" i="99" s="1"/>
  <c r="D78" i="74"/>
  <c r="C85" i="74"/>
  <c r="C980" i="99" s="1"/>
  <c r="C79" i="74"/>
  <c r="C87" i="74"/>
  <c r="C982" i="99" s="1"/>
  <c r="C80" i="74"/>
  <c r="C975" i="99" s="1"/>
  <c r="K967" i="99"/>
  <c r="O8" i="86"/>
  <c r="O14" i="86" s="1"/>
  <c r="O33" i="86" s="1"/>
  <c r="H63" i="86" s="1"/>
  <c r="L100" i="85"/>
  <c r="L70" i="85"/>
  <c r="B103" i="74"/>
  <c r="H50" i="86"/>
  <c r="H57" i="86" s="1"/>
  <c r="H58" i="86" s="1"/>
  <c r="H60" i="86" s="1"/>
  <c r="H64" i="86" s="1"/>
  <c r="K25" i="86" s="1"/>
  <c r="J66" i="82"/>
  <c r="J71" i="82"/>
  <c r="J74" i="82" s="1"/>
  <c r="I71" i="82"/>
  <c r="I74" i="82" s="1"/>
  <c r="I66" i="82"/>
  <c r="K961" i="99" l="1"/>
  <c r="K965" i="99"/>
  <c r="I75" i="82"/>
  <c r="I76" i="82" s="1"/>
  <c r="B979" i="99"/>
  <c r="B984" i="99" s="1"/>
  <c r="J75" i="82"/>
  <c r="J76" i="82" s="1"/>
  <c r="C974" i="99"/>
  <c r="C81" i="74"/>
  <c r="C976" i="99" s="1"/>
  <c r="D990" i="99"/>
  <c r="E95" i="74"/>
  <c r="B96" i="74"/>
  <c r="B101" i="74"/>
  <c r="B97" i="74"/>
  <c r="S935" i="99"/>
  <c r="C86" i="90"/>
  <c r="F60" i="89"/>
  <c r="D88" i="74"/>
  <c r="D983" i="99" s="1"/>
  <c r="E78" i="74"/>
  <c r="D86" i="74"/>
  <c r="D85" i="74"/>
  <c r="D980" i="99" s="1"/>
  <c r="D79" i="74"/>
  <c r="D87" i="74"/>
  <c r="D982" i="99" s="1"/>
  <c r="D80" i="74"/>
  <c r="D975" i="99" s="1"/>
  <c r="B102" i="74"/>
  <c r="B998" i="99"/>
  <c r="C103" i="74"/>
  <c r="B997" i="99"/>
  <c r="C981" i="99"/>
  <c r="K64" i="82"/>
  <c r="K65" i="74"/>
  <c r="S40" i="74" s="1"/>
  <c r="K70" i="74"/>
  <c r="K66" i="74"/>
  <c r="C102" i="74" l="1"/>
  <c r="C84" i="74"/>
  <c r="C89" i="74" s="1"/>
  <c r="C97" i="74" s="1"/>
  <c r="K66" i="82"/>
  <c r="K71" i="82"/>
  <c r="K74" i="82" s="1"/>
  <c r="C979" i="99"/>
  <c r="C984" i="99" s="1"/>
  <c r="D974" i="99"/>
  <c r="D81" i="74"/>
  <c r="D976" i="99" s="1"/>
  <c r="C96" i="74"/>
  <c r="C101" i="74"/>
  <c r="C997" i="99"/>
  <c r="B991" i="99"/>
  <c r="B996" i="99"/>
  <c r="B992" i="99"/>
  <c r="D981" i="99"/>
  <c r="D102" i="74"/>
  <c r="C998" i="99"/>
  <c r="D103" i="74"/>
  <c r="E88" i="74"/>
  <c r="E983" i="99" s="1"/>
  <c r="E86" i="74"/>
  <c r="F78" i="74"/>
  <c r="E85" i="74"/>
  <c r="E980" i="99" s="1"/>
  <c r="E79" i="74"/>
  <c r="E80" i="74"/>
  <c r="E975" i="99" s="1"/>
  <c r="E87" i="74"/>
  <c r="E982" i="99" s="1"/>
  <c r="E990" i="99"/>
  <c r="F95" i="74"/>
  <c r="D84" i="74" l="1"/>
  <c r="D89" i="74" s="1"/>
  <c r="D997" i="99"/>
  <c r="F88" i="74"/>
  <c r="F983" i="99" s="1"/>
  <c r="G78" i="74"/>
  <c r="F86" i="74"/>
  <c r="F85" i="74"/>
  <c r="F980" i="99" s="1"/>
  <c r="F79" i="74"/>
  <c r="F87" i="74"/>
  <c r="F982" i="99" s="1"/>
  <c r="F80" i="74"/>
  <c r="F975" i="99" s="1"/>
  <c r="D979" i="99"/>
  <c r="D984" i="99" s="1"/>
  <c r="E981" i="99"/>
  <c r="C991" i="99"/>
  <c r="C992" i="99"/>
  <c r="C996" i="99"/>
  <c r="F990" i="99"/>
  <c r="G95" i="74"/>
  <c r="K75" i="82"/>
  <c r="K76" i="82" s="1"/>
  <c r="E974" i="99"/>
  <c r="E81" i="74"/>
  <c r="E976" i="99" s="1"/>
  <c r="E84" i="74"/>
  <c r="E89" i="74" s="1"/>
  <c r="D998" i="99"/>
  <c r="E103" i="74"/>
  <c r="E96" i="74" l="1"/>
  <c r="E97" i="74"/>
  <c r="E101" i="74"/>
  <c r="F981" i="99"/>
  <c r="E102" i="74"/>
  <c r="G88" i="74"/>
  <c r="G983" i="99" s="1"/>
  <c r="H78" i="74"/>
  <c r="G86" i="74"/>
  <c r="G85" i="74"/>
  <c r="G980" i="99" s="1"/>
  <c r="G79" i="74"/>
  <c r="G80" i="74"/>
  <c r="G975" i="99" s="1"/>
  <c r="G87" i="74"/>
  <c r="G982" i="99" s="1"/>
  <c r="E998" i="99"/>
  <c r="F103" i="74"/>
  <c r="E997" i="99"/>
  <c r="D991" i="99"/>
  <c r="D992" i="99"/>
  <c r="D996" i="99"/>
  <c r="F974" i="99"/>
  <c r="F84" i="74"/>
  <c r="F89" i="74" s="1"/>
  <c r="F81" i="74"/>
  <c r="F976" i="99" s="1"/>
  <c r="E979" i="99"/>
  <c r="E984" i="99" s="1"/>
  <c r="G990" i="99"/>
  <c r="H95" i="74"/>
  <c r="D96" i="74"/>
  <c r="D101" i="74"/>
  <c r="D97" i="74"/>
  <c r="F102" i="74" l="1"/>
  <c r="F979" i="99"/>
  <c r="F984" i="99" s="1"/>
  <c r="F996" i="99" s="1"/>
  <c r="I78" i="74"/>
  <c r="H86" i="74"/>
  <c r="H88" i="74"/>
  <c r="H983" i="99" s="1"/>
  <c r="H85" i="74"/>
  <c r="H980" i="99" s="1"/>
  <c r="H79" i="74"/>
  <c r="H87" i="74"/>
  <c r="H982" i="99" s="1"/>
  <c r="H80" i="74"/>
  <c r="H975" i="99" s="1"/>
  <c r="E991" i="99"/>
  <c r="E996" i="99"/>
  <c r="E992" i="99"/>
  <c r="F998" i="99"/>
  <c r="G103" i="74"/>
  <c r="F96" i="74"/>
  <c r="F101" i="74"/>
  <c r="F97" i="74"/>
  <c r="F991" i="99"/>
  <c r="F992" i="99"/>
  <c r="F997" i="99"/>
  <c r="G974" i="99"/>
  <c r="G81" i="74"/>
  <c r="G976" i="99" s="1"/>
  <c r="H990" i="99"/>
  <c r="I95" i="74"/>
  <c r="G981" i="99"/>
  <c r="I990" i="99" l="1"/>
  <c r="J95" i="74"/>
  <c r="G84" i="74"/>
  <c r="G89" i="74" s="1"/>
  <c r="H974" i="99"/>
  <c r="H81" i="74"/>
  <c r="H976" i="99" s="1"/>
  <c r="G998" i="99"/>
  <c r="H103" i="74"/>
  <c r="H981" i="99"/>
  <c r="G979" i="99"/>
  <c r="G984" i="99" s="1"/>
  <c r="G102" i="74"/>
  <c r="G997" i="99"/>
  <c r="J78" i="74"/>
  <c r="I86" i="74"/>
  <c r="I88" i="74"/>
  <c r="I983" i="99" s="1"/>
  <c r="I85" i="74"/>
  <c r="I980" i="99" s="1"/>
  <c r="I79" i="74"/>
  <c r="I80" i="74"/>
  <c r="I975" i="99" s="1"/>
  <c r="I87" i="74"/>
  <c r="I982" i="99" s="1"/>
  <c r="H84" i="74" l="1"/>
  <c r="H89" i="74" s="1"/>
  <c r="H96" i="74" s="1"/>
  <c r="H998" i="99"/>
  <c r="I103" i="74"/>
  <c r="K78" i="74"/>
  <c r="J86" i="74"/>
  <c r="J88" i="74"/>
  <c r="J983" i="99" s="1"/>
  <c r="J85" i="74"/>
  <c r="J980" i="99" s="1"/>
  <c r="J79" i="74"/>
  <c r="J80" i="74"/>
  <c r="J975" i="99" s="1"/>
  <c r="J87" i="74"/>
  <c r="J982" i="99" s="1"/>
  <c r="H979" i="99"/>
  <c r="H984" i="99" s="1"/>
  <c r="G991" i="99"/>
  <c r="G996" i="99"/>
  <c r="G992" i="99"/>
  <c r="G96" i="74"/>
  <c r="G101" i="74"/>
  <c r="G97" i="74"/>
  <c r="I974" i="99"/>
  <c r="I81" i="74"/>
  <c r="I976" i="99" s="1"/>
  <c r="H102" i="74"/>
  <c r="J990" i="99"/>
  <c r="K95" i="74"/>
  <c r="I981" i="99"/>
  <c r="H997" i="99"/>
  <c r="H101" i="74" l="1"/>
  <c r="H97" i="74"/>
  <c r="J981" i="99"/>
  <c r="I84" i="74"/>
  <c r="I89" i="74" s="1"/>
  <c r="K86" i="74"/>
  <c r="B108" i="74"/>
  <c r="K88" i="74"/>
  <c r="K983" i="99" s="1"/>
  <c r="K85" i="74"/>
  <c r="K980" i="99" s="1"/>
  <c r="K79" i="74"/>
  <c r="K87" i="74"/>
  <c r="K982" i="99" s="1"/>
  <c r="K80" i="74"/>
  <c r="K975" i="99" s="1"/>
  <c r="H991" i="99"/>
  <c r="H996" i="99"/>
  <c r="H992" i="99"/>
  <c r="I979" i="99"/>
  <c r="I984" i="99" s="1"/>
  <c r="I102" i="74"/>
  <c r="I998" i="99"/>
  <c r="J103" i="74"/>
  <c r="I997" i="99"/>
  <c r="J974" i="99"/>
  <c r="J81" i="74"/>
  <c r="J976" i="99" s="1"/>
  <c r="K990" i="99"/>
  <c r="B125" i="74"/>
  <c r="B1020" i="99" l="1"/>
  <c r="C125" i="74"/>
  <c r="J84" i="74"/>
  <c r="J89" i="74" s="1"/>
  <c r="C108" i="74"/>
  <c r="B116" i="74"/>
  <c r="B118" i="74"/>
  <c r="B1013" i="99" s="1"/>
  <c r="B115" i="74"/>
  <c r="B1010" i="99" s="1"/>
  <c r="B109" i="74"/>
  <c r="B117" i="74"/>
  <c r="B1012" i="99" s="1"/>
  <c r="B110" i="74"/>
  <c r="B1005" i="99" s="1"/>
  <c r="K981" i="99"/>
  <c r="I991" i="99"/>
  <c r="I996" i="99"/>
  <c r="I992" i="99"/>
  <c r="J979" i="99"/>
  <c r="J984" i="99" s="1"/>
  <c r="I96" i="74"/>
  <c r="I97" i="74"/>
  <c r="I101" i="74"/>
  <c r="J102" i="74"/>
  <c r="K974" i="99"/>
  <c r="K81" i="74"/>
  <c r="K976" i="99" s="1"/>
  <c r="K84" i="74"/>
  <c r="K89" i="74" s="1"/>
  <c r="J998" i="99"/>
  <c r="K103" i="74"/>
  <c r="J997" i="99"/>
  <c r="K102" i="74" l="1"/>
  <c r="J991" i="99"/>
  <c r="J996" i="99"/>
  <c r="J992" i="99"/>
  <c r="B1011" i="99"/>
  <c r="B1027" i="99" s="1"/>
  <c r="C116" i="74"/>
  <c r="C118" i="74"/>
  <c r="C1013" i="99" s="1"/>
  <c r="D108" i="74"/>
  <c r="C115" i="74"/>
  <c r="C1010" i="99" s="1"/>
  <c r="C109" i="74"/>
  <c r="C117" i="74"/>
  <c r="C1012" i="99" s="1"/>
  <c r="C110" i="74"/>
  <c r="C1005" i="99" s="1"/>
  <c r="K997" i="99"/>
  <c r="J96" i="74"/>
  <c r="J101" i="74"/>
  <c r="J97" i="74"/>
  <c r="B1004" i="99"/>
  <c r="B111" i="74"/>
  <c r="B1006" i="99" s="1"/>
  <c r="K979" i="99"/>
  <c r="K984" i="99" s="1"/>
  <c r="C1020" i="99"/>
  <c r="D125" i="74"/>
  <c r="K96" i="74"/>
  <c r="K101" i="74"/>
  <c r="K97" i="74"/>
  <c r="K998" i="99"/>
  <c r="B133" i="74"/>
  <c r="B132" i="74" l="1"/>
  <c r="C1011" i="99"/>
  <c r="D118" i="74"/>
  <c r="D1013" i="99" s="1"/>
  <c r="E108" i="74"/>
  <c r="D116" i="74"/>
  <c r="D115" i="74"/>
  <c r="D1010" i="99" s="1"/>
  <c r="D109" i="74"/>
  <c r="D117" i="74"/>
  <c r="D1012" i="99" s="1"/>
  <c r="D110" i="74"/>
  <c r="D1005" i="99" s="1"/>
  <c r="B1028" i="99"/>
  <c r="C133" i="74"/>
  <c r="B114" i="74"/>
  <c r="B119" i="74" s="1"/>
  <c r="K991" i="99"/>
  <c r="K996" i="99"/>
  <c r="K992" i="99"/>
  <c r="C1004" i="99"/>
  <c r="C1009" i="99" s="1"/>
  <c r="C1014" i="99" s="1"/>
  <c r="C111" i="74"/>
  <c r="C1006" i="99" s="1"/>
  <c r="D1020" i="99"/>
  <c r="E125" i="74"/>
  <c r="B1009" i="99"/>
  <c r="B1014" i="99" s="1"/>
  <c r="C1021" i="99" l="1"/>
  <c r="C1026" i="99"/>
  <c r="C1022" i="99"/>
  <c r="D1011" i="99"/>
  <c r="D1004" i="99"/>
  <c r="D111" i="74"/>
  <c r="D1006" i="99" s="1"/>
  <c r="B126" i="74"/>
  <c r="B127" i="74"/>
  <c r="B131" i="74"/>
  <c r="E118" i="74"/>
  <c r="E1013" i="99" s="1"/>
  <c r="E116" i="74"/>
  <c r="F108" i="74"/>
  <c r="E115" i="74"/>
  <c r="E1010" i="99" s="1"/>
  <c r="E109" i="74"/>
  <c r="E110" i="74"/>
  <c r="E1005" i="99" s="1"/>
  <c r="E117" i="74"/>
  <c r="E1012" i="99" s="1"/>
  <c r="C1028" i="99"/>
  <c r="D133" i="74"/>
  <c r="B1021" i="99"/>
  <c r="B1022" i="99"/>
  <c r="B1026" i="99"/>
  <c r="E1020" i="99"/>
  <c r="F125" i="74"/>
  <c r="F1020" i="99" s="1"/>
  <c r="C114" i="74"/>
  <c r="C119" i="74" s="1"/>
  <c r="C132" i="74"/>
  <c r="C1027" i="99"/>
  <c r="E1004" i="99" l="1"/>
  <c r="E111" i="74"/>
  <c r="E1006" i="99" s="1"/>
  <c r="D114" i="74"/>
  <c r="D119" i="74" s="1"/>
  <c r="D1009" i="99"/>
  <c r="D1014" i="99" s="1"/>
  <c r="D132" i="74"/>
  <c r="D1027" i="99"/>
  <c r="E1011" i="99"/>
  <c r="F118" i="74"/>
  <c r="F1013" i="99" s="1"/>
  <c r="F116" i="74"/>
  <c r="F115" i="74"/>
  <c r="F1010" i="99" s="1"/>
  <c r="F109" i="74"/>
  <c r="F117" i="74"/>
  <c r="F1012" i="99" s="1"/>
  <c r="F110" i="74"/>
  <c r="F1005" i="99" s="1"/>
  <c r="D1028" i="99"/>
  <c r="E133" i="74"/>
  <c r="C126" i="74"/>
  <c r="C131" i="74"/>
  <c r="C127" i="74"/>
  <c r="E1027" i="99" l="1"/>
  <c r="D1021" i="99"/>
  <c r="D1022" i="99"/>
  <c r="D1026" i="99"/>
  <c r="D126" i="74"/>
  <c r="D127" i="74"/>
  <c r="D131" i="74"/>
  <c r="F1011" i="99"/>
  <c r="F1027" i="99" s="1"/>
  <c r="F132" i="74"/>
  <c r="E114" i="74"/>
  <c r="E119" i="74" s="1"/>
  <c r="F1004" i="99"/>
  <c r="F111" i="74"/>
  <c r="F1006" i="99" s="1"/>
  <c r="F114" i="74"/>
  <c r="F119" i="74" s="1"/>
  <c r="E1028" i="99"/>
  <c r="F133" i="74"/>
  <c r="F1028" i="99" s="1"/>
  <c r="E132" i="74"/>
  <c r="E1009" i="99"/>
  <c r="E1014" i="99" s="1"/>
  <c r="F1009" i="99" l="1"/>
  <c r="F1014" i="99" s="1"/>
  <c r="E1021" i="99"/>
  <c r="E1022" i="99"/>
  <c r="E1026" i="99"/>
  <c r="F126" i="74"/>
  <c r="F131" i="74"/>
  <c r="F127" i="74"/>
  <c r="E126" i="74"/>
  <c r="E127" i="74"/>
  <c r="E131" i="74"/>
  <c r="F1021" i="99" l="1"/>
  <c r="F1026" i="99"/>
  <c r="F1022" i="99"/>
  <c r="A446" i="72" l="1" a="1"/>
  <c r="A446" i="72"/>
</calcChain>
</file>

<file path=xl/comments1.xml><?xml version="1.0" encoding="utf-8"?>
<comments xmlns="http://schemas.openxmlformats.org/spreadsheetml/2006/main">
  <authors>
    <author>Stephen Barrett</author>
  </authors>
  <commentList>
    <comment ref="L34"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authors>
    <author>marie.palena</author>
  </authors>
  <commentList>
    <comment ref="L13" authorId="0" shapeId="0">
      <text>
        <r>
          <rPr>
            <b/>
            <sz val="9"/>
            <color indexed="81"/>
            <rFont val="Tahoma"/>
            <family val="2"/>
          </rPr>
          <t>marie.palena:</t>
        </r>
        <r>
          <rPr>
            <sz val="9"/>
            <color indexed="81"/>
            <rFont val="Tahoma"/>
            <family val="2"/>
          </rPr>
          <t xml:space="preserve">
generally rehabs only</t>
        </r>
      </text>
    </comment>
    <comment ref="L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authors>
    <author>Stephen Barrett</author>
  </authors>
  <commentList>
    <comment ref="L276" authorId="0" shapeId="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 ref="G64" authorId="0" shapeId="0">
      <text>
        <r>
          <rPr>
            <b/>
            <sz val="9"/>
            <color indexed="81"/>
            <rFont val="Tahoma"/>
            <family val="2"/>
          </rPr>
          <t>marie.palena:</t>
        </r>
        <r>
          <rPr>
            <sz val="9"/>
            <color indexed="81"/>
            <rFont val="Tahoma"/>
            <family val="2"/>
          </rPr>
          <t xml:space="preserve">
construction loan? 1 mortgage?</t>
        </r>
      </text>
    </comment>
    <comment ref="G65" authorId="0" shapeId="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authors>
    <author>marie.palena</author>
    <author>stephen.barrett</author>
  </authors>
  <commentList>
    <comment ref="C48" authorId="0" shapeId="0">
      <text>
        <r>
          <rPr>
            <b/>
            <sz val="9"/>
            <color indexed="81"/>
            <rFont val="Tahoma"/>
            <family val="2"/>
          </rPr>
          <t>marie.palena:</t>
        </r>
        <r>
          <rPr>
            <sz val="9"/>
            <color indexed="81"/>
            <rFont val="Tahoma"/>
            <family val="2"/>
          </rPr>
          <t xml:space="preserve">
see threshold</t>
        </r>
      </text>
    </comment>
    <comment ref="C50" authorId="0" shapeId="0">
      <text>
        <r>
          <rPr>
            <b/>
            <sz val="9"/>
            <color indexed="81"/>
            <rFont val="Tahoma"/>
            <family val="2"/>
          </rPr>
          <t>marie.palena:</t>
        </r>
        <r>
          <rPr>
            <sz val="9"/>
            <color indexed="81"/>
            <rFont val="Tahoma"/>
            <family val="2"/>
          </rPr>
          <t xml:space="preserve">
confirm with threshold
</t>
        </r>
      </text>
    </comment>
    <comment ref="D76"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text>
        <r>
          <rPr>
            <b/>
            <sz val="9"/>
            <color indexed="81"/>
            <rFont val="Tahoma"/>
            <family val="2"/>
          </rPr>
          <t>marie.palena:</t>
        </r>
        <r>
          <rPr>
            <sz val="9"/>
            <color indexed="81"/>
            <rFont val="Tahoma"/>
            <family val="2"/>
          </rPr>
          <t xml:space="preserve">
If IPS, use NA</t>
        </r>
      </text>
    </comment>
    <comment ref="D84" authorId="0" shapeId="0">
      <text>
        <r>
          <rPr>
            <b/>
            <sz val="9"/>
            <color indexed="81"/>
            <rFont val="Tahoma"/>
            <family val="2"/>
          </rPr>
          <t>marie.palena:</t>
        </r>
        <r>
          <rPr>
            <sz val="9"/>
            <color indexed="81"/>
            <rFont val="Tahoma"/>
            <family val="2"/>
          </rPr>
          <t xml:space="preserve">
for fully am, use NA</t>
        </r>
      </text>
    </comment>
    <comment ref="D86" authorId="0" shapeId="0">
      <text>
        <r>
          <rPr>
            <b/>
            <sz val="8"/>
            <color indexed="81"/>
            <rFont val="Tahoma"/>
            <family val="2"/>
          </rPr>
          <t>marie.palena:</t>
        </r>
        <r>
          <rPr>
            <sz val="8"/>
            <color indexed="81"/>
            <rFont val="Tahoma"/>
            <family val="2"/>
          </rPr>
          <t xml:space="preserve">
delete if fully amortizing</t>
        </r>
      </text>
    </comment>
    <comment ref="B88" authorId="0" shapeId="0">
      <text>
        <r>
          <rPr>
            <b/>
            <sz val="8"/>
            <color indexed="81"/>
            <rFont val="Tahoma"/>
            <family val="2"/>
          </rPr>
          <t>marie.palena:</t>
        </r>
        <r>
          <rPr>
            <sz val="8"/>
            <color indexed="81"/>
            <rFont val="Tahoma"/>
            <family val="2"/>
          </rPr>
          <t xml:space="preserve">
delete if fully amortizing</t>
        </r>
      </text>
    </comment>
    <comment ref="C88" authorId="1" shapeId="0">
      <text>
        <r>
          <rPr>
            <b/>
            <sz val="9"/>
            <color indexed="81"/>
            <rFont val="Tahoma"/>
            <family val="2"/>
          </rPr>
          <t>marie.palena:</t>
        </r>
        <r>
          <rPr>
            <sz val="9"/>
            <color indexed="81"/>
            <rFont val="Tahoma"/>
            <family val="2"/>
          </rPr>
          <t xml:space="preserve">
will only change if Permanent Supportive Housing HOME loan</t>
        </r>
      </text>
    </comment>
    <comment ref="D102" authorId="1" shapeId="0">
      <text>
        <r>
          <rPr>
            <b/>
            <sz val="9"/>
            <color indexed="81"/>
            <rFont val="Tahoma"/>
            <family val="2"/>
          </rPr>
          <t>Marie Palena:</t>
        </r>
        <r>
          <rPr>
            <sz val="9"/>
            <color indexed="81"/>
            <rFont val="Tahoma"/>
            <family val="2"/>
          </rPr>
          <t xml:space="preserve">
See Scoring</t>
        </r>
      </text>
    </comment>
    <comment ref="D104"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authors>
    <author>Ryan Fleming</author>
  </authors>
  <commentList>
    <comment ref="B32" authorId="0" shapeId="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3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<sst xmlns="http://schemas.openxmlformats.org/spreadsheetml/2006/main" count="19442" uniqueCount="7029">
  <si>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</si>
  <si>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</si>
  <si>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</si>
  <si>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</si>
  <si>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</si>
  <si>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</si>
  <si>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</si>
  <si>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</si>
  <si>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</si>
  <si>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</si>
  <si>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</si>
  <si>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</si>
  <si>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</si>
  <si>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</si>
  <si>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</si>
  <si>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</si>
  <si>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</si>
  <si>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</si>
  <si>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</si>
  <si>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</si>
  <si>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</si>
  <si>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</si>
  <si>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</si>
  <si>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</si>
  <si>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</si>
  <si>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</si>
  <si>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</si>
  <si>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</si>
  <si>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</si>
  <si>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</si>
  <si>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</si>
  <si>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</si>
  <si>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</si>
  <si>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</si>
  <si>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</si>
  <si>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</si>
  <si>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</si>
  <si>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</si>
  <si>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</si>
  <si>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</si>
  <si>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</si>
  <si>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</si>
  <si>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</si>
  <si>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</si>
  <si>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</si>
  <si>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</si>
  <si>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</si>
  <si>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</si>
  <si>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</si>
  <si>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</si>
  <si>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</si>
  <si>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</si>
  <si>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</si>
  <si>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</si>
  <si>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</si>
  <si>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</si>
  <si>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</si>
  <si>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</si>
  <si>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</si>
  <si>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</si>
  <si>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</si>
  <si>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</si>
  <si>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</si>
  <si>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</si>
  <si>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</si>
  <si>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</si>
  <si>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</si>
  <si>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</si>
  <si>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</si>
  <si>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</si>
  <si>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</si>
  <si>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</si>
  <si>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</si>
  <si>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</si>
  <si>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</si>
  <si>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</si>
  <si>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</si>
  <si>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</si>
  <si>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</si>
  <si>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</si>
  <si>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</si>
  <si>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</si>
  <si>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</si>
  <si>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</si>
  <si>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</si>
  <si>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</si>
  <si>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</si>
  <si>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</si>
  <si>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</si>
  <si>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</si>
  <si>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</si>
  <si>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</si>
  <si>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</si>
  <si>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</si>
  <si>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</si>
  <si>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</si>
  <si>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</si>
  <si>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</si>
  <si>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</si>
  <si>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</si>
  <si>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</si>
  <si>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</si>
  <si>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</si>
  <si>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</si>
  <si>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</si>
  <si>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</si>
  <si>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</si>
  <si>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</si>
  <si>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</si>
  <si>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</si>
  <si>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</si>
  <si>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</si>
  <si>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</si>
  <si>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</si>
  <si>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</si>
  <si>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</si>
  <si>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</si>
  <si>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</si>
  <si>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</si>
  <si>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</si>
  <si>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</si>
  <si>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</si>
  <si>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</si>
  <si>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</si>
  <si>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</si>
  <si>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</si>
  <si>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</si>
  <si>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</si>
  <si>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</si>
  <si>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</si>
  <si>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</si>
  <si>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</si>
  <si>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</si>
  <si>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</si>
  <si>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</si>
  <si>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</si>
  <si>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</si>
  <si>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</si>
  <si>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</si>
  <si>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</si>
  <si>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</si>
  <si>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</si>
  <si>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</si>
  <si>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</si>
  <si>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</si>
  <si>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</si>
  <si>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</si>
  <si>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</si>
  <si>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</si>
  <si>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</si>
  <si>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</si>
  <si>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</si>
  <si>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</si>
  <si>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</si>
  <si>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</si>
  <si>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</si>
  <si>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</si>
  <si>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</si>
  <si>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</si>
  <si>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</si>
  <si>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</si>
  <si>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</si>
  <si>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</si>
  <si>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</si>
  <si>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</si>
  <si>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</si>
  <si>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</si>
  <si>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</si>
  <si>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</si>
  <si>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</si>
  <si>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</si>
  <si>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</si>
  <si>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</si>
  <si>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</si>
  <si>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</si>
  <si>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</si>
  <si>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</si>
  <si>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</si>
  <si>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</si>
  <si>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</si>
  <si>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</si>
  <si>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</si>
  <si>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</si>
  <si>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</si>
  <si>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</si>
  <si>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</si>
  <si>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</si>
  <si>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</si>
  <si>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</si>
  <si>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</si>
  <si>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</si>
  <si>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</si>
  <si>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</si>
  <si>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</si>
  <si>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</si>
  <si>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</si>
  <si>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</si>
  <si>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</si>
  <si>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</si>
  <si>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</si>
  <si>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</si>
  <si>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</si>
  <si>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</si>
  <si>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</si>
  <si>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</si>
  <si>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</si>
  <si>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</si>
  <si>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</si>
  <si>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</si>
  <si>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</si>
  <si>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</si>
  <si>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</si>
  <si>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</si>
  <si>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</si>
  <si>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</si>
  <si>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</si>
  <si>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</si>
  <si>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</si>
  <si>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</si>
  <si>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</si>
  <si>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</si>
  <si>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</si>
  <si>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</si>
  <si>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</si>
  <si>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</si>
  <si>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</si>
  <si>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</si>
  <si>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</si>
  <si>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</si>
  <si>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</si>
  <si>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</si>
  <si>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</si>
  <si>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</si>
  <si>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</si>
  <si>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</si>
  <si>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</si>
  <si>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</si>
  <si>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</si>
  <si>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</si>
  <si>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</si>
  <si>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</si>
  <si>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</si>
  <si>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</si>
  <si>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</si>
  <si>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</si>
  <si>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</si>
  <si>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</si>
  <si>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</si>
  <si>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</si>
  <si>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</si>
  <si>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</si>
  <si>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</si>
  <si>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</si>
  <si>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</si>
  <si>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</si>
  <si>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</si>
  <si>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</si>
  <si>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</si>
  <si>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</si>
  <si>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</si>
  <si>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</si>
  <si>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</si>
  <si>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</si>
  <si>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</si>
  <si>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</si>
  <si>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</si>
  <si>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</si>
  <si>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</si>
  <si>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</si>
  <si>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</si>
  <si>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</si>
  <si>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</si>
  <si>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</si>
  <si>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</si>
  <si>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</si>
  <si>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</si>
  <si>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</si>
  <si>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</si>
  <si>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</si>
  <si>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</si>
  <si>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</si>
  <si>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</si>
  <si>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</si>
  <si>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</si>
  <si>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</si>
  <si>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</si>
  <si>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</si>
  <si>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</si>
  <si>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</si>
  <si>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</si>
  <si>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</si>
  <si>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</si>
  <si>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</si>
  <si>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</si>
  <si>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</si>
  <si>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</si>
  <si>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</si>
  <si>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</si>
  <si>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</si>
  <si>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</si>
  <si>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</si>
  <si>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</si>
  <si>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</si>
  <si>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</si>
  <si>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</si>
  <si>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</si>
  <si>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</si>
  <si>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</si>
  <si>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</si>
  <si>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</si>
  <si>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</si>
  <si>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</si>
  <si>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</si>
  <si>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</si>
  <si>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</si>
  <si>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</si>
  <si>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</si>
  <si>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</si>
  <si>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</si>
  <si>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</si>
  <si>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</si>
  <si>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</si>
  <si>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</si>
  <si>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</si>
  <si>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</si>
  <si>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</si>
  <si>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</si>
  <si>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</si>
  <si>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</si>
  <si>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</si>
  <si>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</si>
  <si>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</si>
  <si>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</si>
  <si>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</si>
  <si>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</si>
  <si>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</si>
  <si>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</si>
  <si>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</si>
  <si>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</si>
  <si>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</si>
  <si>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</si>
  <si>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</si>
  <si>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</si>
  <si>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</si>
  <si>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</si>
  <si>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</si>
  <si>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</si>
  <si>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</si>
  <si>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</si>
  <si>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</si>
  <si>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</si>
  <si>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</si>
  <si>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</si>
  <si>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</si>
  <si>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</si>
  <si>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</si>
  <si>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</si>
  <si>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</si>
  <si>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</si>
  <si>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</si>
  <si>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</si>
  <si>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</si>
  <si>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</si>
  <si>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</si>
  <si>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</si>
  <si>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</si>
  <si>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</si>
  <si>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</si>
  <si>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</si>
  <si>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</si>
  <si>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</si>
  <si>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</si>
  <si>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</si>
  <si>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</si>
  <si>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</si>
  <si>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</si>
  <si>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</si>
  <si>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</si>
  <si>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</si>
  <si>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</si>
  <si>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</si>
  <si>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</si>
  <si>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</si>
  <si>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</si>
  <si>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</si>
  <si>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</si>
  <si>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</si>
  <si>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</si>
  <si>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</si>
  <si>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</si>
  <si>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</si>
  <si>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</si>
  <si>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</si>
  <si>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</si>
  <si>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</si>
  <si>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</si>
  <si>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</si>
  <si>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</si>
  <si>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</si>
  <si>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</si>
  <si>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</si>
  <si>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</si>
  <si>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</si>
  <si>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</si>
  <si>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</si>
  <si>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</si>
  <si>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</si>
  <si>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</si>
  <si>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</si>
  <si>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</si>
  <si>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</si>
  <si>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</si>
  <si>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</si>
  <si>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</si>
  <si>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</si>
  <si>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</si>
  <si>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</si>
  <si>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</si>
  <si>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</si>
  <si>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</si>
  <si>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</si>
  <si>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</si>
  <si>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</si>
  <si>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</si>
  <si>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</si>
  <si>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</si>
  <si>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</si>
  <si>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</si>
  <si>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</si>
  <si>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</si>
  <si>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</si>
  <si>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</si>
  <si>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</si>
  <si>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</si>
  <si>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</si>
  <si>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</si>
  <si>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</si>
  <si>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</si>
  <si>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</si>
  <si>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</si>
  <si>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</si>
  <si>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</si>
  <si>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</si>
  <si>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</si>
  <si>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</si>
  <si>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</si>
  <si>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</si>
  <si>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</si>
  <si>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</si>
  <si>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</si>
  <si>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</si>
  <si>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</si>
  <si>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</si>
  <si>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</si>
  <si>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</si>
  <si>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</si>
  <si>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</si>
  <si>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</si>
  <si>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</si>
  <si>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</si>
  <si>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</si>
  <si>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</si>
  <si>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</si>
  <si>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</si>
  <si>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</si>
  <si>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</si>
  <si>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</si>
  <si>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</si>
  <si>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</si>
  <si>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</si>
  <si>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</si>
  <si>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</si>
  <si>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</si>
  <si>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</si>
  <si>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</si>
  <si>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</si>
  <si>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</si>
  <si>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</si>
  <si>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</si>
  <si>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</si>
  <si>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</si>
  <si>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</si>
  <si>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</si>
  <si>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</si>
  <si>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</si>
  <si>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</si>
  <si>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</si>
  <si>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</si>
  <si>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</si>
  <si>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</si>
  <si>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</si>
  <si>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</si>
  <si>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</si>
  <si>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</si>
  <si>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</si>
  <si>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</si>
  <si>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</si>
  <si>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</si>
  <si>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</si>
  <si>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</si>
  <si>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</si>
  <si>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</si>
  <si>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</si>
  <si>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</si>
  <si>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</si>
  <si>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</si>
  <si>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</si>
  <si>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</si>
  <si>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</si>
  <si>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</si>
  <si>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</si>
  <si>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</si>
  <si>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</si>
  <si>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</si>
  <si>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</si>
  <si>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</si>
  <si>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</si>
  <si>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</si>
  <si>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</si>
  <si>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</si>
  <si>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</si>
  <si>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</si>
  <si>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</si>
  <si>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</si>
  <si>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</si>
  <si>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</si>
  <si>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</si>
  <si>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</si>
  <si>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</si>
  <si>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</si>
  <si>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</si>
  <si>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</si>
  <si>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</si>
  <si>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</si>
  <si>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</si>
  <si>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</si>
  <si>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</si>
  <si>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</si>
  <si>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</si>
  <si>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</si>
  <si>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</si>
  <si>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</si>
  <si>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</si>
  <si>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</si>
  <si>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</si>
  <si>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</si>
  <si>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</si>
  <si>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</si>
  <si>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</si>
  <si>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</si>
  <si>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</si>
  <si>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</si>
  <si>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</si>
  <si>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</si>
  <si>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</si>
  <si>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</si>
  <si>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</si>
  <si>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</si>
  <si>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</si>
  <si>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</si>
  <si>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</si>
  <si>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</si>
  <si>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</si>
  <si>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</si>
  <si>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</si>
  <si>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</si>
  <si>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</si>
  <si>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</si>
  <si>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</si>
  <si>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</si>
  <si>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</si>
  <si>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</si>
  <si>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</si>
  <si>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</si>
  <si>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</si>
  <si>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</si>
  <si>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</si>
  <si>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</si>
  <si>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</si>
  <si>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</si>
  <si>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</si>
  <si>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</si>
  <si>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</si>
  <si>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</si>
  <si>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</si>
  <si>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</si>
  <si>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</si>
  <si>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</si>
  <si>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</si>
  <si>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</si>
  <si>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</si>
  <si>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</si>
  <si>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</si>
  <si>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</si>
  <si>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</si>
  <si>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</si>
  <si>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</si>
  <si>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</si>
  <si>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</si>
  <si>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</si>
  <si>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</si>
  <si>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</si>
  <si>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</si>
  <si>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</si>
  <si>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</si>
  <si>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</si>
  <si>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</si>
  <si>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</si>
  <si>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</si>
  <si>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</si>
  <si>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</si>
  <si>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</si>
  <si>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</si>
  <si>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</si>
  <si>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</si>
  <si>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</si>
  <si>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</si>
  <si>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</si>
  <si>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</si>
  <si>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</si>
  <si>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</si>
  <si>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</si>
  <si>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</si>
  <si>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</si>
  <si>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</si>
  <si>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</si>
  <si>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</si>
  <si>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</si>
  <si>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</si>
  <si>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</si>
  <si>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</si>
  <si>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</si>
  <si>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</si>
  <si>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</si>
  <si>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</si>
  <si>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</si>
  <si>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</si>
  <si>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</si>
  <si>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</si>
  <si>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</si>
  <si>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</si>
  <si>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</si>
  <si>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</si>
  <si>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</si>
  <si>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</si>
  <si>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</si>
  <si>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</si>
  <si>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</si>
  <si>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</si>
  <si>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</si>
  <si>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</si>
  <si>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</si>
  <si>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</si>
  <si>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</si>
  <si>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</si>
  <si>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</si>
  <si>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</si>
  <si>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</si>
  <si>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</si>
  <si>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</si>
  <si>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</si>
  <si>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</si>
  <si>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</si>
  <si>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</si>
  <si>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</si>
  <si>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</si>
  <si>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</si>
  <si>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</si>
  <si>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</si>
  <si>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</si>
  <si>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</si>
  <si>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</si>
  <si>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</si>
  <si>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</si>
  <si>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</si>
  <si>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</si>
  <si>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</si>
  <si>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</si>
  <si>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</si>
  <si>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</si>
  <si>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</si>
  <si>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</si>
  <si>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</si>
  <si>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</si>
  <si>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</si>
  <si>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</si>
  <si>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</si>
  <si>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</si>
  <si>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</si>
  <si>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</si>
  <si>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</si>
  <si>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</si>
  <si>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</si>
  <si>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</si>
  <si>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</si>
  <si>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</si>
  <si>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</si>
  <si>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</si>
  <si>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</si>
  <si>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</si>
  <si>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</si>
  <si>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</si>
  <si>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</si>
  <si>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</si>
  <si>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</si>
  <si>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</si>
  <si>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</si>
  <si>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</si>
  <si>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</si>
  <si>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</si>
  <si>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</si>
  <si>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</si>
  <si>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</si>
  <si>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</si>
  <si>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</si>
  <si>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</si>
  <si>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</si>
  <si>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</si>
  <si>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</si>
  <si>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</si>
  <si>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</si>
  <si>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</si>
  <si>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</si>
  <si>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</si>
  <si>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</si>
  <si>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</si>
  <si>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</si>
  <si>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</si>
  <si>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</si>
  <si>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</si>
  <si>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</si>
  <si>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</si>
  <si>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</si>
  <si>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</si>
  <si>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</si>
  <si>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</si>
  <si>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</si>
  <si>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</si>
  <si>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</si>
  <si>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</si>
  <si>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</si>
  <si>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</si>
  <si>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</si>
  <si>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</si>
  <si>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</si>
  <si>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</si>
  <si>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</si>
  <si>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</si>
  <si>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</si>
  <si>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</si>
  <si>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</si>
  <si>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</si>
  <si>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</si>
  <si>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</si>
  <si>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</si>
  <si>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</si>
  <si>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</si>
  <si>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</si>
  <si>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</si>
  <si>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</si>
  <si>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</si>
  <si>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</si>
  <si>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</si>
  <si>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</si>
  <si>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</si>
  <si>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</si>
  <si>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</si>
  <si>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</si>
  <si>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</si>
  <si>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</si>
  <si>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</si>
  <si>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</si>
  <si>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</si>
  <si>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</si>
  <si>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</si>
  <si>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</si>
  <si>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</si>
  <si>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</si>
  <si>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</si>
  <si>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</si>
  <si>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</si>
  <si>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</si>
  <si>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</si>
  <si>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</si>
  <si>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</si>
  <si>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</si>
  <si>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</si>
  <si>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</si>
  <si>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</si>
  <si>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</si>
  <si>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</si>
  <si>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</si>
  <si>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</si>
  <si>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</si>
  <si>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</si>
  <si>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</si>
  <si>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</si>
  <si>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</si>
  <si>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</si>
  <si>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</si>
  <si>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</si>
  <si>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</si>
  <si>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</si>
  <si>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</si>
  <si>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</si>
  <si>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</si>
  <si>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</si>
  <si>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</si>
  <si>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</si>
  <si>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</si>
  <si>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</si>
  <si>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</si>
  <si>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</si>
  <si>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</si>
  <si>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</si>
  <si>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</si>
  <si>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</si>
  <si>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</si>
  <si>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</si>
  <si>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</si>
  <si>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</si>
  <si>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</si>
  <si>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</si>
  <si>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</si>
  <si>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</si>
  <si>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</si>
  <si>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</si>
  <si>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</si>
  <si>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</si>
  <si>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</si>
  <si>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</si>
  <si>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</si>
  <si>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</si>
  <si>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</si>
  <si>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</si>
  <si>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</si>
  <si>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</si>
  <si>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</si>
  <si>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</si>
  <si>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</si>
  <si>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</si>
  <si>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</si>
  <si>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</si>
  <si>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</si>
  <si>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</si>
  <si>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</si>
  <si>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</si>
  <si>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</si>
  <si>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</si>
  <si>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</si>
  <si>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</si>
  <si>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</si>
  <si>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</si>
  <si>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</si>
  <si>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</si>
  <si>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</si>
  <si>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</si>
  <si>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</si>
  <si>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</si>
  <si>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</si>
  <si>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</si>
  <si>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</si>
  <si>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</si>
  <si>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</si>
  <si>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</si>
  <si>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</si>
  <si>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</si>
  <si>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</si>
  <si>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</si>
  <si>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</si>
  <si>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</si>
  <si>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</si>
  <si>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</si>
  <si>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</si>
  <si>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</si>
  <si>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</si>
  <si>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</si>
  <si>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</si>
  <si>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</si>
  <si>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</si>
  <si>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</si>
  <si>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</si>
  <si>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</si>
  <si>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</si>
  <si>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</si>
  <si>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</si>
  <si>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</si>
  <si>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</si>
  <si>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</si>
  <si>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</si>
  <si>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</si>
  <si>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</si>
  <si>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</si>
  <si>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</si>
  <si>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</si>
  <si>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</si>
  <si>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</si>
  <si>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</si>
  <si>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</si>
  <si>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</si>
  <si>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</si>
  <si>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</si>
  <si>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</si>
  <si>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</si>
  <si>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</si>
  <si>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</si>
  <si>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</si>
  <si>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</si>
  <si>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</si>
  <si>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</si>
  <si>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</si>
  <si>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</si>
  <si>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</si>
  <si>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</si>
  <si>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</si>
  <si>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</si>
  <si>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</si>
  <si>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</si>
  <si>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</si>
  <si>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</si>
  <si>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</si>
  <si>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</si>
  <si>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</si>
  <si>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</si>
  <si>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</si>
  <si>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</si>
  <si>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</si>
  <si>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</si>
  <si>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</si>
  <si>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</si>
  <si>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</si>
  <si>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</si>
  <si>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</si>
  <si>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</si>
  <si>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</si>
  <si>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</si>
  <si>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</si>
  <si>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</si>
  <si>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</si>
  <si>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</si>
  <si>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</si>
  <si>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</si>
  <si>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</si>
  <si>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</si>
  <si>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</si>
  <si>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</si>
  <si>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</si>
  <si>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</si>
  <si>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</si>
  <si>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</si>
  <si>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</si>
  <si>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</si>
  <si>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</si>
  <si>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</si>
  <si>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</si>
  <si>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</si>
  <si>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</si>
  <si>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</si>
  <si>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</si>
  <si>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</si>
  <si>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</si>
  <si>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</si>
  <si>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</si>
  <si>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</si>
  <si>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</si>
  <si>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</si>
  <si>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</si>
  <si>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</si>
  <si>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</si>
  <si>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</si>
  <si>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</si>
  <si>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</si>
  <si>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</si>
  <si>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</si>
  <si>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</si>
  <si>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</si>
  <si>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</si>
  <si>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</si>
  <si>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</si>
  <si>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</si>
  <si>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</si>
  <si>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</si>
  <si>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</si>
  <si>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</si>
  <si>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</si>
  <si>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</si>
  <si>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</si>
  <si>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</si>
  <si>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</si>
  <si>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</si>
  <si>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</si>
  <si>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</si>
  <si>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</si>
  <si>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</si>
  <si>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</si>
  <si>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</si>
  <si>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</si>
  <si>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</si>
  <si>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</si>
  <si>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</si>
  <si>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</si>
  <si>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</si>
  <si>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</si>
  <si>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</si>
  <si>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</si>
  <si>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</si>
  <si>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</si>
  <si>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</si>
  <si>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</si>
  <si>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</si>
  <si>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</si>
  <si>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</si>
  <si>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</si>
  <si>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</si>
  <si>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</si>
  <si>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</si>
  <si>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</si>
  <si>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</si>
  <si>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</si>
  <si>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</si>
  <si>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</si>
  <si>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</si>
  <si>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</si>
  <si>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</si>
  <si>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</si>
  <si>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</si>
  <si>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</si>
  <si>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</si>
  <si>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</si>
  <si>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</si>
  <si>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</si>
  <si>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</si>
  <si>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</si>
  <si>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</si>
  <si>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</si>
  <si>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</si>
  <si>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</si>
  <si>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</si>
  <si>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</si>
  <si>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</si>
  <si>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</si>
  <si>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</si>
  <si>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</si>
  <si>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</si>
  <si>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</si>
  <si>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</si>
  <si>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</si>
  <si>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</si>
  <si>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</si>
  <si>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</si>
  <si>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</si>
  <si>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</si>
  <si>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</si>
  <si>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</si>
  <si>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</si>
  <si>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</si>
  <si>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</si>
  <si>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</si>
  <si>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</si>
  <si>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</si>
  <si>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</si>
  <si>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</si>
  <si>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</si>
  <si>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</si>
  <si>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</si>
  <si>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</si>
  <si>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</si>
  <si>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</si>
  <si>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</si>
  <si>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</si>
  <si>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</si>
  <si>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</si>
  <si>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</si>
  <si>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</si>
  <si>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</si>
  <si>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</si>
  <si>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</si>
  <si>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</si>
  <si>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</si>
  <si>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</si>
  <si>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</si>
  <si>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</si>
  <si>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</si>
  <si>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</si>
  <si>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</si>
  <si>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</si>
  <si>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</si>
  <si>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</si>
  <si>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</si>
  <si>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</si>
  <si>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</si>
  <si>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</si>
  <si>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</si>
  <si>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</si>
  <si>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</si>
  <si>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</si>
  <si>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</si>
  <si>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</si>
  <si>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</si>
  <si>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</si>
  <si>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</si>
  <si>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</si>
  <si>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</si>
  <si>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</si>
  <si>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</si>
  <si>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</si>
  <si>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</si>
  <si>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</si>
  <si>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</si>
  <si>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</si>
  <si>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</si>
  <si>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</si>
  <si>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</si>
  <si>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</si>
  <si>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</si>
  <si>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</si>
  <si>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</si>
  <si>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</si>
  <si>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</si>
  <si>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</si>
  <si>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</si>
  <si>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</si>
  <si>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</si>
  <si>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</si>
  <si>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</si>
  <si>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</si>
  <si>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</si>
  <si>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</si>
  <si>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</si>
  <si>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</si>
  <si>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</si>
  <si>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</si>
  <si>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</si>
  <si>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</si>
  <si>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</si>
  <si>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</si>
  <si>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</si>
  <si>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</si>
  <si>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</si>
  <si>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</si>
  <si>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</si>
  <si>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</si>
  <si>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</si>
  <si>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</si>
  <si>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</si>
  <si>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</si>
  <si>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</si>
  <si>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</si>
  <si>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</si>
  <si>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</si>
  <si>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</si>
  <si>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</si>
  <si>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</si>
  <si>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</si>
  <si>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</si>
  <si>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</si>
  <si>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</si>
  <si>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</si>
  <si>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</si>
  <si>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</si>
  <si>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</si>
  <si>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</si>
  <si>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</si>
  <si>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</si>
  <si>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</si>
  <si>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</si>
  <si>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</si>
  <si>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</si>
  <si>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</si>
  <si>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</si>
  <si>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</si>
  <si>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</si>
  <si>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</si>
  <si>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</si>
  <si>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</si>
  <si>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</si>
  <si>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</si>
  <si>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</si>
  <si>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</si>
  <si>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</si>
  <si>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</si>
  <si>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</si>
  <si>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</si>
  <si>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</si>
  <si>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</si>
  <si>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</si>
  <si>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</si>
  <si>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</si>
  <si>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</si>
  <si>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</si>
  <si>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</si>
  <si>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</si>
  <si>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</si>
  <si>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</si>
  <si>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</si>
  <si>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</si>
  <si>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</si>
  <si>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</si>
  <si>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</si>
  <si>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</si>
  <si>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</si>
  <si>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</si>
  <si>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</si>
  <si>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</si>
  <si>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</si>
  <si>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</si>
  <si>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</si>
  <si>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</si>
  <si>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</si>
  <si>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</si>
  <si>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</si>
  <si>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</si>
  <si>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</si>
  <si>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</si>
  <si>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</si>
  <si>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</si>
  <si>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</si>
  <si>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</si>
  <si>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</si>
  <si>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</si>
  <si>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</si>
  <si>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</si>
  <si>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</si>
  <si>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</si>
  <si>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</si>
  <si>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</si>
  <si>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</si>
  <si>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</si>
  <si>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</si>
  <si>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</si>
  <si>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</si>
  <si>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</si>
  <si>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</si>
  <si>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</si>
  <si>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</si>
  <si>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</si>
  <si>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</si>
  <si>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</si>
  <si>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</si>
  <si>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</si>
  <si>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</si>
  <si>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</si>
  <si>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</si>
  <si>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</si>
  <si>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</si>
  <si>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</si>
  <si>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</si>
  <si>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</si>
  <si>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</si>
  <si>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</si>
  <si>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</si>
  <si>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</si>
  <si>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</si>
  <si>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</si>
  <si>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</si>
  <si>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</si>
  <si>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</si>
  <si>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</si>
  <si>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</si>
  <si>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</si>
  <si>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</si>
  <si>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</si>
  <si>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</si>
  <si>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</si>
  <si>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</si>
  <si>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</si>
  <si>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</si>
  <si>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</si>
  <si>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</si>
  <si>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</si>
  <si>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</si>
  <si>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</si>
  <si>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</si>
  <si>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</si>
  <si>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</si>
  <si>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</si>
  <si>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</si>
  <si>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</si>
  <si>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</si>
  <si>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</si>
  <si>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</si>
  <si>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</si>
  <si>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</si>
  <si>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</si>
  <si>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</si>
  <si>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</si>
  <si>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</si>
  <si>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</si>
  <si>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</si>
  <si>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</si>
  <si>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</si>
  <si>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</si>
  <si>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</si>
  <si>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</si>
  <si>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</si>
  <si>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</si>
  <si>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</si>
  <si>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</si>
  <si>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</si>
  <si>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</si>
  <si>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</si>
  <si>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</si>
  <si>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</si>
  <si>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</si>
  <si>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</si>
  <si>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</si>
  <si>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</si>
  <si>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</si>
  <si>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</si>
  <si>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</si>
  <si>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</si>
  <si>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</si>
  <si>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</si>
  <si>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</si>
  <si>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</si>
  <si>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</si>
  <si>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</si>
  <si>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</si>
  <si>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</si>
  <si>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</si>
  <si>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</si>
  <si>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</si>
  <si>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</si>
  <si>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</si>
  <si>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</si>
  <si>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</si>
  <si>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</si>
  <si>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</si>
  <si>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</si>
  <si>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</si>
  <si>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</si>
  <si>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</si>
  <si>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</si>
  <si>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</si>
  <si>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</si>
  <si>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</si>
  <si>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</si>
  <si>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</si>
  <si>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</si>
  <si>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</si>
  <si>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</si>
  <si>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</si>
  <si>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</si>
  <si>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</si>
  <si>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</si>
  <si>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</si>
  <si>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</si>
  <si>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</si>
  <si>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</si>
  <si>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</si>
  <si>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</si>
  <si>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</si>
  <si>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</si>
  <si>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</si>
  <si>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</si>
  <si>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</si>
  <si>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</si>
  <si>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</si>
  <si>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</si>
  <si>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</si>
  <si>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</si>
  <si>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</si>
  <si>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</si>
  <si>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</si>
  <si>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</si>
  <si>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</si>
  <si>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</si>
  <si>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</si>
  <si>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</si>
  <si>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</si>
  <si>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</si>
  <si>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</si>
  <si>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</si>
  <si>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</si>
  <si>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</si>
  <si>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</si>
  <si>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</si>
  <si>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</si>
  <si>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</si>
  <si>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</si>
  <si>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</si>
  <si>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</si>
  <si>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</si>
  <si>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</si>
  <si>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</si>
  <si>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</si>
  <si>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</si>
  <si>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</si>
  <si>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</si>
  <si>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</si>
  <si>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</si>
  <si>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</si>
  <si>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</si>
  <si>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</si>
  <si>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</si>
  <si>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</si>
  <si>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</si>
  <si>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</si>
  <si>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</si>
  <si>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</si>
  <si>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</si>
  <si>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</si>
  <si>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</si>
  <si>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</si>
  <si>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</si>
  <si>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</si>
  <si>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</si>
  <si>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</si>
  <si>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</si>
  <si>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</si>
  <si>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</si>
  <si>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</si>
  <si>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</si>
  <si>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</si>
  <si>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</si>
  <si>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</si>
  <si>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</si>
  <si>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</si>
  <si>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</si>
  <si>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</si>
  <si>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</si>
  <si>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</si>
  <si>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</si>
  <si>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</si>
  <si>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</si>
  <si>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</si>
  <si>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</si>
  <si>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</si>
  <si>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</si>
  <si>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</si>
  <si>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</si>
  <si>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</si>
  <si>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</si>
  <si>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</si>
  <si>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</si>
  <si>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</si>
  <si>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</si>
  <si>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</si>
  <si>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</si>
  <si>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</si>
  <si>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</si>
  <si>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</si>
  <si>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</si>
  <si>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</si>
  <si>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</si>
  <si>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</si>
  <si>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</si>
  <si>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</si>
  <si>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</si>
  <si>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</si>
  <si>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</si>
  <si>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</si>
  <si>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</si>
  <si>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</si>
  <si>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</si>
  <si>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</si>
  <si>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</si>
  <si>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</si>
  <si>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</si>
  <si>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</si>
  <si>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</si>
  <si>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</si>
  <si>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</si>
  <si>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</si>
  <si>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</si>
  <si>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</si>
  <si>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</si>
  <si>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</si>
  <si>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</si>
  <si>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</si>
  <si>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</si>
  <si>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</si>
  <si>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</si>
  <si>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</si>
  <si>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</si>
  <si>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</si>
  <si>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</si>
  <si>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</si>
  <si>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</si>
  <si>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</si>
  <si>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</si>
  <si>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</si>
  <si>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</si>
  <si>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</si>
  <si>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</si>
  <si>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</si>
  <si>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</si>
  <si>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</si>
  <si>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</si>
  <si>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</si>
  <si>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</si>
  <si>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</si>
  <si>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</si>
  <si>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</si>
  <si>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</si>
  <si>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</si>
  <si>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</si>
  <si>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</si>
  <si>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</si>
  <si>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</si>
  <si>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</si>
  <si>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</si>
  <si>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</si>
  <si>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</si>
  <si>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</si>
  <si>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</si>
  <si>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</si>
  <si>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</si>
  <si>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</si>
  <si>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</si>
  <si>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</si>
  <si>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</si>
  <si>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</si>
  <si>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</si>
  <si>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</si>
  <si>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</si>
  <si>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</si>
  <si>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</si>
  <si>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</si>
  <si>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</si>
  <si>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</si>
  <si>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</si>
  <si>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</si>
  <si>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</si>
  <si>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</si>
  <si>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</si>
  <si>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</si>
  <si>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</si>
  <si>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</si>
  <si>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</si>
  <si>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</si>
  <si>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</si>
  <si>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</si>
  <si>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</si>
  <si>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</si>
  <si>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</si>
  <si>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</si>
  <si>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</si>
  <si>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</si>
  <si>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</si>
  <si>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</si>
  <si>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</si>
  <si>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</si>
  <si>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</si>
  <si>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</si>
  <si>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</si>
  <si>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</si>
  <si>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</si>
  <si>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</si>
  <si>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</si>
  <si>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</si>
  <si>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</si>
  <si>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</si>
  <si>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</si>
  <si>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</si>
  <si>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</si>
  <si>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</si>
  <si>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</si>
  <si>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</si>
  <si>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</si>
  <si>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</si>
  <si>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</si>
  <si>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</si>
  <si>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</si>
  <si>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</si>
  <si>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</si>
  <si>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</si>
  <si>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</si>
  <si>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</si>
  <si>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</si>
  <si>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</si>
  <si>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</si>
  <si>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</si>
  <si>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</si>
  <si>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</si>
  <si>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</si>
  <si>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</si>
  <si>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</si>
  <si>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</si>
  <si>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</si>
  <si>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</si>
  <si>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</si>
  <si>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</si>
  <si>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</si>
  <si>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</si>
  <si>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</si>
  <si>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</si>
  <si>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</si>
  <si>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</si>
  <si>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</si>
  <si>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</si>
  <si>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</si>
  <si>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</si>
  <si>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</si>
  <si>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</si>
  <si>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</si>
  <si>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</si>
  <si>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</si>
  <si>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</si>
  <si>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</si>
  <si>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</si>
  <si>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</si>
  <si>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</si>
  <si>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</si>
  <si>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</si>
  <si>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</si>
  <si>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</si>
  <si>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</si>
  <si>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</si>
  <si>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</si>
  <si>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</si>
  <si>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</si>
  <si>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</si>
  <si>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</si>
  <si>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</si>
  <si>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</si>
  <si>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</si>
  <si>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</si>
  <si>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</si>
  <si>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</si>
  <si>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</si>
  <si>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</si>
  <si>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</si>
  <si>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</si>
  <si>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</si>
  <si>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</si>
  <si>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</si>
  <si>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</si>
  <si>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</si>
  <si>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</si>
  <si>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</si>
  <si>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</si>
  <si>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</si>
  <si>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</si>
  <si>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</si>
  <si>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</si>
  <si>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</si>
  <si>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</si>
  <si>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</si>
  <si>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</si>
  <si>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</si>
  <si>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</si>
  <si>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</si>
  <si>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</si>
  <si>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</si>
  <si>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</si>
  <si>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</si>
  <si>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</si>
  <si>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</si>
  <si>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</si>
  <si>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</si>
  <si>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</si>
  <si>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</si>
  <si>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</si>
  <si>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</si>
  <si>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</si>
  <si>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</si>
  <si>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</si>
  <si>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</si>
  <si>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</si>
  <si>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</si>
  <si>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</si>
  <si>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</si>
  <si>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</si>
  <si>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</si>
  <si>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</si>
  <si>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</si>
  <si>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</si>
  <si>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</si>
  <si>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</si>
  <si>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</si>
  <si>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</si>
  <si>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</si>
  <si>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</si>
  <si>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</si>
  <si>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</si>
  <si>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</si>
  <si>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</si>
  <si>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</si>
  <si>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</si>
  <si>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</si>
  <si>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</si>
  <si>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</si>
  <si>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</si>
  <si>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</si>
  <si>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</si>
  <si>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</si>
  <si>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</si>
  <si>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</si>
  <si>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</si>
  <si>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</si>
  <si>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</si>
  <si>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</si>
  <si>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</si>
  <si>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</si>
  <si>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</si>
  <si>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</si>
  <si>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</si>
  <si>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</si>
  <si>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</si>
  <si>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</si>
  <si>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</si>
  <si>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</si>
  <si>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</si>
  <si>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</si>
  <si>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</si>
  <si>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</si>
  <si>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</si>
  <si>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</si>
  <si>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</si>
  <si>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</si>
  <si>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</si>
  <si>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</si>
  <si>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</si>
  <si>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</si>
  <si>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</si>
  <si>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</si>
  <si>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</si>
  <si>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</si>
  <si>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</si>
  <si>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</si>
  <si>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</si>
  <si>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</si>
  <si>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</si>
  <si>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</si>
  <si>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</si>
  <si>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</si>
  <si>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</si>
  <si>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</si>
  <si>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</si>
  <si>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</si>
  <si>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</si>
  <si>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</si>
  <si>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</si>
  <si>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</si>
  <si>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</si>
  <si>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</si>
  <si>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</si>
  <si>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</si>
  <si>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</si>
  <si>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</si>
  <si>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</si>
  <si>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</si>
  <si>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</si>
  <si>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</si>
  <si>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</si>
  <si>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</si>
  <si>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</si>
  <si>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</si>
  <si>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</si>
  <si>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</si>
  <si>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</si>
  <si>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</si>
  <si>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</si>
  <si>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</si>
  <si>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</si>
  <si>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</si>
  <si>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</si>
  <si>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</si>
  <si>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</si>
  <si>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</si>
  <si>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</si>
  <si>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</si>
  <si>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</si>
  <si>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</si>
  <si>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</si>
  <si>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</si>
  <si>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</si>
  <si>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</si>
  <si>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</si>
  <si>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</si>
  <si>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</si>
  <si>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</si>
  <si>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</si>
  <si>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</si>
  <si>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</si>
  <si>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</si>
  <si>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</si>
  <si>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</si>
  <si>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</si>
  <si>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</si>
  <si>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</si>
  <si>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</si>
  <si>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</si>
  <si>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</si>
  <si>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</si>
  <si>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</si>
  <si>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</si>
  <si>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</si>
  <si>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</si>
  <si>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</si>
  <si>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</si>
  <si>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</si>
  <si>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</si>
  <si>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</si>
  <si>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</si>
  <si>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</si>
  <si>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</si>
  <si>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</si>
  <si>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</si>
  <si>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</si>
  <si>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</si>
  <si>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</si>
  <si>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</si>
  <si>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</si>
  <si>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</si>
  <si>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</si>
  <si>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</si>
  <si>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</si>
  <si>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</si>
  <si>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</si>
  <si>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</si>
  <si>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</si>
  <si>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</si>
  <si>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</si>
  <si>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</si>
  <si>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</si>
  <si>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</si>
  <si>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</si>
  <si>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</si>
  <si>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</si>
  <si>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</si>
  <si>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</si>
  <si>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</si>
  <si>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</si>
  <si>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</si>
  <si>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</si>
  <si>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</si>
  <si>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</si>
  <si>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</si>
  <si>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</si>
  <si>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</si>
  <si>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</si>
  <si>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</si>
  <si>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</si>
  <si>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</si>
  <si>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</si>
  <si>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</si>
  <si>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</si>
  <si>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</si>
  <si>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</si>
  <si>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</si>
  <si>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</si>
  <si>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</si>
  <si>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</si>
  <si>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</si>
  <si>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</si>
  <si>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</si>
  <si>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</si>
  <si>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</si>
  <si>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</si>
  <si>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</si>
  <si>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</si>
  <si>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</si>
  <si>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</si>
  <si>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</si>
  <si>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</si>
  <si>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</si>
  <si>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</si>
  <si>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</si>
  <si>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</si>
  <si>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</si>
  <si>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</si>
  <si>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</si>
  <si>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</si>
  <si>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</si>
  <si>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</si>
  <si>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</si>
  <si>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</si>
  <si>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</si>
  <si>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</si>
  <si>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</si>
  <si>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</si>
  <si>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</si>
  <si>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</si>
  <si>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</si>
  <si>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</si>
  <si>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</si>
  <si>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</si>
  <si>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</si>
  <si>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</si>
  <si>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</si>
  <si>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</si>
  <si>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</si>
  <si>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</si>
  <si>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</si>
  <si>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</si>
  <si>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</si>
  <si>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</si>
  <si>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</si>
  <si>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</si>
  <si>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</si>
  <si>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</si>
  <si>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</si>
  <si>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</si>
  <si>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</si>
  <si>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</si>
  <si>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</si>
  <si>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</si>
  <si>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</si>
  <si>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</si>
  <si>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</si>
  <si>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</si>
  <si>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</si>
  <si>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</si>
  <si>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</si>
  <si>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</si>
  <si>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</si>
  <si>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</si>
  <si>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</si>
  <si>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</si>
  <si>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</si>
  <si>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</si>
  <si>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</si>
  <si>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</si>
  <si>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</si>
  <si>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</si>
  <si>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</si>
  <si>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</si>
  <si>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</si>
  <si>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</si>
  <si>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</si>
  <si>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</si>
  <si>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</si>
  <si>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</si>
  <si>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</si>
  <si>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</si>
  <si>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</si>
  <si>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</si>
  <si>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</si>
  <si>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</si>
  <si>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</si>
  <si>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</si>
  <si>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</si>
  <si>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</si>
  <si>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</si>
  <si>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</si>
  <si>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</si>
  <si>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</si>
  <si>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</si>
  <si>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</si>
  <si>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</si>
  <si>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</si>
  <si>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</si>
  <si>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</si>
  <si>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</si>
  <si>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</si>
  <si>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</si>
  <si>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</si>
  <si>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</si>
  <si>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</si>
  <si>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</si>
  <si>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</si>
  <si>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</si>
  <si>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</si>
  <si>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</si>
  <si>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</si>
  <si>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</si>
  <si>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</si>
  <si>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</si>
  <si>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</si>
  <si>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</si>
  <si>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</si>
  <si>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</si>
  <si>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</si>
  <si>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</si>
  <si>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</si>
  <si>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</si>
  <si>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</si>
  <si>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</si>
  <si>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</si>
  <si>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</si>
  <si>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</si>
  <si>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</si>
  <si>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</si>
  <si>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</si>
  <si>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</si>
  <si>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</si>
  <si>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</si>
  <si>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</si>
  <si>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</si>
  <si>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</si>
  <si>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</si>
  <si>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</si>
  <si>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</si>
  <si>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</si>
  <si>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</si>
  <si>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</si>
  <si>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</si>
  <si>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</si>
  <si>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</si>
  <si>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</si>
  <si>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</si>
  <si>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</si>
  <si>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</si>
  <si>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</si>
  <si>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</si>
  <si>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</si>
  <si>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</si>
  <si>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</si>
  <si>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</si>
  <si>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</si>
  <si>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</si>
  <si>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</si>
  <si>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</si>
  <si>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</si>
  <si>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</si>
  <si>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</si>
  <si>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</si>
  <si>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</si>
  <si>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</si>
  <si>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</si>
  <si>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</si>
  <si>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</si>
  <si>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</si>
  <si>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</si>
  <si>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</si>
  <si>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</si>
  <si>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</si>
  <si>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</si>
  <si>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</si>
  <si>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</si>
  <si>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</si>
  <si>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</si>
  <si>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</si>
  <si>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</si>
  <si>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</si>
  <si>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</si>
  <si>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</si>
  <si>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</si>
  <si>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</si>
  <si>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</si>
  <si>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</si>
  <si>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</si>
  <si>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</si>
  <si>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</si>
  <si>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</si>
  <si>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</si>
  <si>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</si>
  <si>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</si>
  <si>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</si>
  <si>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</si>
  <si>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</si>
  <si>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</si>
  <si>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</si>
  <si>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</si>
  <si>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</si>
  <si>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</si>
  <si>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</si>
  <si>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</si>
  <si>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</si>
  <si>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</si>
  <si>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</si>
  <si>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</si>
  <si>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</si>
  <si>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</si>
  <si>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</si>
  <si>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</si>
  <si>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</si>
  <si>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</si>
  <si>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</si>
  <si>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</si>
  <si>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</si>
  <si>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</si>
  <si>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</si>
  <si>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</si>
  <si>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</si>
  <si>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</si>
  <si>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</si>
  <si>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</si>
  <si>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</si>
  <si>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</si>
  <si>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</si>
  <si>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</si>
  <si>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</si>
  <si>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</si>
  <si>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</si>
  <si>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</si>
  <si>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</si>
  <si>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</si>
  <si>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</si>
  <si>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</si>
  <si>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</si>
  <si>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</si>
  <si>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</si>
  <si>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</si>
  <si>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</si>
  <si>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</si>
  <si>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</si>
  <si>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</si>
  <si>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</si>
  <si>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</si>
  <si>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</si>
  <si>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</si>
  <si>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</si>
  <si>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</si>
  <si>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</si>
  <si>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</si>
  <si>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</si>
  <si>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</si>
  <si>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</si>
  <si>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</si>
  <si>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</si>
  <si>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</si>
  <si>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</si>
  <si>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</si>
  <si>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</si>
  <si>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</si>
  <si>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</si>
  <si>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</si>
  <si>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</si>
  <si>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</si>
  <si>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</si>
  <si>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</si>
  <si>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</si>
  <si>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</si>
  <si>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</si>
  <si>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</si>
  <si>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</si>
  <si>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</si>
  <si>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</si>
  <si>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</si>
  <si>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</si>
  <si>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</si>
  <si>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</si>
  <si>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</si>
  <si>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</si>
  <si>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</si>
  <si>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</si>
  <si>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</si>
  <si>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</si>
  <si>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</si>
  <si>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</si>
  <si>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</si>
  <si>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</si>
  <si>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</si>
  <si>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</si>
  <si>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</si>
  <si>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</si>
  <si>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</si>
  <si>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</si>
  <si>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</si>
  <si>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</si>
  <si>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</si>
  <si>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</si>
  <si>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</si>
  <si>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</si>
  <si>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</si>
  <si>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</si>
  <si>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</si>
  <si>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</si>
  <si>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</si>
  <si>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</si>
  <si>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</si>
  <si>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</si>
  <si>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</si>
  <si>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</si>
  <si>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</si>
  <si>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</si>
  <si>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</si>
  <si>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</si>
  <si>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</si>
  <si>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</si>
  <si>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</si>
  <si>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</si>
  <si>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</si>
  <si>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</si>
  <si>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</si>
  <si>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</si>
  <si>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</si>
  <si>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</si>
  <si>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</si>
  <si>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</si>
  <si>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</si>
  <si>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</si>
  <si>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</si>
  <si>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</si>
  <si>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</si>
  <si>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</si>
  <si>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</si>
  <si>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</si>
  <si>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</si>
  <si>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</si>
  <si>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</si>
  <si>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</si>
  <si>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</si>
  <si>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</si>
  <si>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</si>
  <si>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</si>
  <si>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</si>
  <si>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</si>
  <si>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</si>
  <si>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</si>
  <si>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</si>
  <si>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</si>
  <si>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</si>
  <si>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</si>
  <si>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</si>
  <si>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</si>
  <si>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</si>
  <si>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</si>
  <si>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</si>
  <si>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</si>
  <si>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</si>
  <si>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</si>
  <si>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</si>
  <si>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</si>
  <si>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</si>
  <si>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</si>
  <si>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</si>
  <si>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</si>
  <si>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</si>
  <si>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</si>
  <si>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</si>
  <si>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</si>
  <si>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</si>
  <si>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</si>
  <si>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</si>
  <si>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</si>
  <si>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</si>
  <si>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</si>
  <si>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</si>
  <si>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</si>
  <si>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</si>
  <si>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</si>
  <si>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</si>
  <si>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</si>
  <si>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</si>
  <si>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</si>
  <si>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</si>
  <si>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</si>
  <si>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</si>
  <si>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</si>
  <si>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</si>
  <si>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</si>
  <si>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</si>
  <si>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</si>
  <si>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</si>
  <si>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</si>
  <si>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</si>
  <si>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</si>
  <si>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</si>
  <si>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</si>
  <si>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</si>
  <si>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</si>
  <si>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</si>
  <si>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</si>
  <si>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</si>
  <si>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</si>
  <si>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</si>
  <si>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</si>
  <si>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</si>
  <si>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</si>
  <si>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</si>
  <si>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</si>
  <si>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</si>
  <si>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</si>
  <si>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</si>
  <si>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</si>
  <si>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</si>
  <si>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</si>
  <si>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</si>
  <si>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</si>
  <si>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</si>
  <si>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</si>
  <si>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</si>
  <si>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</si>
  <si>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</si>
  <si>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</si>
  <si>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</si>
  <si>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</si>
  <si>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</si>
  <si>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</si>
  <si>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</si>
  <si>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</si>
  <si>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</si>
  <si>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</si>
  <si>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</si>
  <si>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</si>
  <si>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</si>
  <si>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</si>
  <si>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</si>
  <si>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</si>
  <si>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</si>
  <si>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</si>
  <si>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</si>
  <si>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</si>
  <si>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</si>
  <si>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</si>
  <si>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</si>
  <si>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</si>
  <si>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</si>
  <si>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</si>
  <si>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</si>
  <si>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</si>
  <si>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</si>
  <si>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</si>
  <si>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</si>
  <si>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</si>
  <si>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</si>
  <si>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</si>
  <si>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</si>
  <si>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</si>
  <si>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</si>
  <si>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</si>
  <si>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</si>
  <si>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</si>
  <si>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</si>
  <si>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</si>
  <si>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</si>
  <si>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</si>
  <si>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</si>
  <si>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</si>
  <si>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</si>
  <si>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</si>
  <si>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</si>
  <si>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</si>
  <si>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</si>
  <si>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</si>
  <si>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</si>
  <si>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</si>
  <si>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</si>
  <si>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</si>
  <si>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</si>
  <si>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</si>
  <si>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</si>
  <si>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</si>
  <si>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</si>
  <si>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</si>
  <si>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</si>
  <si>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</si>
  <si>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</si>
  <si>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</si>
  <si>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</si>
  <si>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</si>
  <si>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</si>
  <si>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</si>
  <si>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</si>
  <si>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</si>
  <si>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</si>
  <si>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</si>
  <si>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</si>
  <si>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</si>
  <si>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</si>
  <si>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</si>
  <si>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</si>
  <si>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</si>
  <si>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</si>
  <si>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</si>
  <si>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</si>
  <si>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</si>
  <si>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</si>
  <si>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</si>
  <si>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</si>
  <si>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</si>
  <si>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</si>
  <si>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</si>
  <si>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</si>
  <si>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</si>
  <si>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</si>
  <si>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</si>
  <si>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</si>
  <si>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</si>
  <si>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</si>
  <si>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</si>
  <si>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</si>
  <si>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</si>
  <si>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</si>
  <si>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</si>
  <si>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</si>
  <si>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</si>
  <si>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</si>
  <si>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</si>
  <si>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</si>
  <si>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</si>
  <si>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</si>
  <si>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</si>
  <si>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</si>
  <si>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</si>
  <si>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</si>
  <si>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</si>
  <si>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</si>
  <si>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</si>
  <si>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</si>
  <si>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</si>
  <si>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</si>
  <si>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</si>
  <si>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</si>
  <si>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</si>
  <si>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</si>
  <si>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</si>
  <si>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</si>
  <si>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</si>
  <si>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</si>
  <si>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</si>
  <si>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</si>
  <si>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</si>
  <si>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</si>
  <si>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</si>
  <si>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</si>
  <si>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</si>
  <si>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</si>
  <si>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</si>
  <si>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</si>
  <si>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</si>
  <si>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</si>
  <si>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</si>
  <si>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</si>
  <si>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</si>
  <si>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</si>
  <si>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</si>
  <si>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</si>
  <si>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</si>
  <si>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</si>
  <si>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</si>
  <si>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</si>
  <si>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</si>
  <si>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</si>
  <si>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</si>
  <si>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</si>
  <si>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</si>
  <si>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</si>
  <si>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</si>
  <si>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</si>
  <si>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</si>
  <si>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</si>
  <si>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</si>
  <si>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</si>
  <si>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</si>
  <si>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</si>
  <si>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</si>
  <si>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</si>
  <si>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</si>
  <si>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</si>
  <si>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</si>
  <si>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</si>
  <si>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</si>
  <si>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</si>
  <si>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</si>
  <si>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</si>
  <si>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</si>
  <si>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</si>
  <si>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</si>
  <si>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</si>
  <si>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</si>
  <si>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</si>
  <si>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</si>
  <si>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</si>
  <si>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</si>
  <si>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</si>
  <si>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</si>
  <si>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</si>
  <si>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</si>
  <si>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</si>
  <si>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</si>
  <si>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</si>
  <si>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</si>
  <si>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</si>
  <si>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</si>
  <si>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</si>
  <si>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</si>
  <si>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</si>
  <si>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</si>
  <si>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</si>
  <si>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</si>
  <si>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</si>
  <si>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</si>
  <si>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</si>
  <si>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</si>
  <si>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</si>
  <si>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</si>
  <si>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</si>
  <si>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</si>
  <si>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</si>
  <si>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</si>
  <si>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</si>
  <si>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</si>
  <si>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</si>
  <si>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</si>
  <si>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</si>
  <si>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</si>
  <si>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</si>
  <si>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</si>
  <si>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</si>
  <si>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</si>
  <si>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</si>
  <si>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</si>
  <si>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</si>
  <si>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</si>
  <si>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</si>
  <si>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</si>
  <si>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</si>
  <si>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</si>
  <si>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</si>
  <si>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</si>
  <si>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</si>
  <si>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</si>
  <si>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</si>
  <si>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</si>
  <si>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</si>
  <si>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</si>
  <si>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</si>
  <si>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</si>
  <si>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</si>
  <si>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</si>
  <si>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</si>
  <si>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</si>
  <si>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</si>
  <si>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</si>
  <si>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</si>
  <si>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</si>
  <si>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</si>
  <si>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</si>
  <si>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</si>
  <si>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</si>
  <si>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</si>
  <si>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</si>
  <si>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</si>
  <si>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</si>
  <si>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</si>
  <si>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</si>
  <si>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</si>
  <si>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</si>
  <si>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</si>
  <si>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</si>
  <si>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</si>
  <si>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</si>
  <si>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</si>
  <si>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</si>
  <si>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</si>
  <si>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</si>
  <si>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</si>
  <si>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</si>
  <si>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</si>
  <si>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</si>
  <si>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</si>
  <si>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</si>
  <si>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</si>
  <si>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</si>
  <si>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</si>
  <si>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</si>
  <si>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</si>
  <si>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</si>
  <si>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</si>
  <si>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</si>
  <si>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</si>
  <si>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</si>
  <si>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</si>
  <si>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</si>
  <si>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</si>
  <si>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</si>
  <si>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</si>
  <si>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</si>
  <si>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</si>
  <si>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</si>
  <si>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</si>
  <si>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</si>
  <si>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</si>
  <si>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</si>
  <si>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</si>
  <si>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</si>
  <si>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</si>
  <si>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</si>
  <si>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</si>
  <si>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</si>
  <si>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</si>
  <si>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</si>
  <si>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</si>
  <si>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</si>
  <si>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</si>
  <si>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</si>
  <si>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</si>
  <si>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</si>
  <si>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</si>
  <si>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</si>
  <si>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</si>
  <si>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</si>
  <si>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</si>
  <si>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</si>
  <si>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</si>
  <si>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</si>
  <si>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</si>
  <si>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</si>
  <si>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</si>
  <si>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</si>
  <si>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</si>
  <si>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</si>
  <si>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</si>
  <si>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</si>
  <si>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</si>
  <si>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</si>
  <si>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</si>
  <si>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</si>
  <si>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</si>
  <si>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</si>
  <si>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</si>
  <si>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</si>
  <si>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</si>
  <si>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</si>
  <si>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</si>
  <si>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</si>
  <si>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</si>
  <si>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</si>
  <si>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</si>
  <si>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</si>
  <si>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</si>
  <si>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</si>
  <si>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</si>
  <si>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</si>
  <si>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</si>
  <si>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</si>
  <si>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</si>
  <si>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</si>
  <si>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</si>
  <si>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</si>
  <si>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</si>
  <si>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</si>
  <si>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</si>
  <si>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</si>
  <si>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</si>
  <si>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</si>
  <si>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</si>
  <si>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</si>
  <si>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</si>
  <si>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</si>
  <si>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</si>
  <si>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</si>
  <si>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</si>
  <si>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</si>
  <si>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</si>
  <si>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</si>
  <si>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</si>
  <si>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</si>
  <si>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</si>
  <si>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</si>
  <si>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</si>
  <si>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</si>
  <si>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</si>
  <si>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</si>
  <si>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</si>
  <si>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</si>
  <si>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</si>
  <si>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</si>
  <si>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</si>
  <si>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</si>
  <si>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</si>
  <si>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</si>
  <si>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</si>
  <si>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</si>
  <si>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</si>
  <si>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</si>
  <si>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</si>
  <si>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</si>
  <si>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</si>
  <si>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</si>
  <si>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</si>
  <si>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</si>
  <si>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</si>
  <si>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</si>
  <si>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</si>
  <si>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</si>
  <si>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</si>
  <si>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</si>
  <si>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</si>
  <si>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</si>
  <si>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</si>
  <si>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</si>
  <si>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</si>
  <si>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</si>
  <si>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</si>
  <si>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</si>
  <si>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</si>
  <si>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</si>
  <si>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</si>
  <si>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</si>
  <si>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</si>
  <si>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</si>
  <si>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</si>
  <si>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</si>
  <si>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</si>
  <si>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</si>
  <si>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</si>
  <si>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</si>
  <si>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</si>
  <si>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</si>
  <si>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</si>
  <si>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</si>
  <si>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</si>
  <si>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</si>
  <si>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</si>
  <si>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</si>
  <si>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</si>
  <si>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</si>
  <si>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</si>
  <si>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</si>
  <si>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</si>
  <si>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</si>
  <si>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</si>
  <si>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</si>
  <si>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</si>
  <si>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</si>
  <si>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</si>
  <si>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</si>
  <si>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</si>
  <si>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</si>
  <si>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</si>
  <si>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</si>
  <si>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</si>
  <si>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</si>
  <si>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</si>
  <si>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</si>
  <si>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</si>
  <si>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</si>
  <si>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</si>
  <si>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</si>
  <si>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</si>
  <si>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</si>
  <si>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</si>
  <si>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</si>
  <si>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</si>
  <si>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</si>
  <si>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</si>
  <si>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</si>
  <si>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</si>
  <si>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</si>
  <si>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</si>
  <si>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</si>
  <si>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</si>
  <si>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</si>
  <si>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</si>
  <si>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</si>
  <si>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</si>
  <si>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</si>
  <si>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</si>
  <si>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</si>
  <si>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</si>
  <si>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</si>
  <si>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</si>
  <si>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</si>
  <si>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</si>
  <si>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</si>
  <si>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</si>
  <si>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</si>
  <si>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</si>
  <si>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</si>
  <si>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</si>
  <si>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</si>
  <si>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</si>
  <si>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</si>
  <si>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</si>
  <si>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</si>
  <si>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</si>
  <si>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</si>
  <si>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</si>
  <si>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</si>
  <si>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</si>
  <si>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</si>
  <si>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</si>
  <si>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</si>
  <si>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</si>
  <si>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</si>
  <si>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</si>
  <si>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</si>
  <si>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</si>
  <si>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</si>
  <si>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</si>
  <si>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</si>
  <si>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</si>
  <si>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</si>
  <si>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</si>
  <si>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</si>
  <si>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</si>
  <si>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</si>
  <si>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</si>
  <si>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</si>
  <si>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</si>
  <si>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</si>
  <si>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</si>
  <si>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</si>
  <si>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</si>
  <si>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</si>
  <si>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</si>
  <si>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</si>
  <si>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</si>
  <si>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</si>
  <si>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</si>
  <si>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</si>
  <si>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</si>
  <si>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</si>
  <si>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</si>
  <si>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</si>
  <si>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</si>
  <si>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</si>
  <si>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</si>
  <si>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</si>
  <si>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</si>
  <si>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</si>
  <si>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</si>
  <si>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</si>
  <si>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</si>
  <si>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</si>
  <si>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</si>
  <si>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</si>
  <si>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</si>
  <si>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</si>
  <si>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</si>
  <si>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</si>
  <si>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</si>
  <si>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</si>
  <si>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</si>
  <si>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</si>
  <si>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</si>
  <si>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</si>
  <si>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</si>
  <si>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</si>
  <si>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</si>
  <si>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</si>
  <si>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</si>
  <si>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</si>
  <si>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</si>
  <si>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</si>
  <si>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</si>
  <si>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</si>
  <si>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</si>
  <si>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</si>
  <si>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</si>
  <si>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</si>
  <si>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</si>
  <si>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</si>
  <si>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</si>
  <si>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</si>
  <si>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</si>
  <si>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</si>
  <si>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</si>
  <si>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</si>
  <si>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</si>
  <si>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</si>
  <si>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</si>
  <si>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</si>
  <si>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</si>
  <si>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</si>
  <si>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</si>
  <si>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</si>
  <si>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</si>
  <si>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</si>
  <si>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</si>
  <si>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</si>
  <si>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</si>
  <si>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</si>
  <si>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</si>
  <si>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</si>
  <si>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</si>
  <si>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</si>
  <si>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</si>
  <si>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</si>
  <si>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</si>
  <si>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</si>
  <si>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</si>
  <si>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</si>
  <si>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</si>
  <si>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</si>
  <si>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</si>
  <si>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</si>
  <si>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</si>
  <si>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</si>
  <si>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</si>
  <si>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</si>
  <si>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</si>
  <si>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</si>
  <si>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</si>
  <si>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</si>
  <si>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</si>
  <si>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</si>
  <si>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</si>
  <si>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</si>
  <si>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</si>
  <si>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</si>
  <si>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</si>
  <si>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</si>
  <si>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</si>
  <si>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</si>
  <si>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</si>
  <si>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</si>
  <si>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</si>
  <si>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</si>
  <si>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</si>
  <si>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</si>
  <si>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</si>
  <si>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</si>
  <si>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</si>
  <si>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</si>
  <si>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</si>
  <si>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</si>
  <si>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</si>
  <si>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</si>
  <si>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</si>
  <si>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</si>
  <si>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</si>
  <si>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</si>
  <si>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</si>
  <si>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</si>
  <si>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</si>
  <si>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</si>
  <si>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</si>
  <si>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</si>
  <si>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</si>
  <si>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</si>
  <si>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</si>
  <si>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</si>
  <si>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</si>
  <si>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</si>
  <si>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</si>
  <si>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</si>
  <si>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</si>
  <si>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</si>
  <si>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</si>
  <si>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</si>
  <si>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</si>
  <si>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</si>
  <si>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</si>
  <si>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</si>
  <si>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</si>
  <si>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</si>
  <si>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</si>
  <si>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</si>
  <si>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</si>
  <si>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</si>
  <si>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</si>
  <si>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</si>
  <si>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</si>
  <si>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</si>
  <si>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</si>
  <si>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</si>
  <si>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</si>
  <si>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</si>
  <si>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</si>
  <si>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</si>
  <si>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</si>
  <si>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</si>
  <si>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</si>
  <si>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</si>
  <si>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</si>
  <si>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</si>
  <si>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</si>
  <si>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</si>
  <si>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</si>
  <si>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</si>
  <si>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</si>
  <si>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</si>
  <si>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</si>
  <si>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</si>
  <si>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</si>
  <si>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</si>
  <si>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</si>
  <si>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</si>
  <si>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</si>
  <si>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</si>
  <si>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</si>
  <si>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</si>
  <si>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</si>
  <si>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</si>
  <si>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</si>
  <si>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</si>
  <si>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</si>
  <si>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</si>
  <si>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</si>
  <si>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</si>
  <si>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</si>
  <si>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</si>
  <si>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</si>
  <si>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</si>
  <si>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</si>
  <si>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</si>
  <si>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</si>
  <si>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</si>
  <si>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</si>
  <si>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</si>
  <si>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</si>
  <si>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</si>
  <si>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</si>
  <si>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</si>
  <si>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</si>
  <si>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</si>
  <si>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</si>
  <si>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</si>
  <si>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</si>
  <si>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</si>
  <si>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</si>
  <si>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</si>
  <si>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</si>
  <si>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</si>
  <si>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</si>
  <si>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</si>
  <si>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</si>
  <si>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</si>
  <si>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</si>
  <si>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</si>
  <si>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</si>
  <si>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</si>
  <si>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</si>
  <si>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</si>
  <si>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</si>
  <si>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</si>
  <si>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</si>
  <si>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</si>
  <si>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</si>
  <si>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</si>
  <si>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</si>
  <si>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</si>
  <si>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</si>
  <si>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</si>
  <si>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</si>
  <si>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</si>
  <si>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</si>
  <si>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</si>
  <si>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</si>
  <si>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</si>
  <si>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</si>
  <si>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</si>
  <si>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</si>
  <si>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</si>
  <si>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</si>
  <si>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</si>
  <si>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</si>
  <si>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</si>
  <si>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</si>
  <si>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</si>
  <si>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</si>
  <si>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</si>
  <si>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</si>
  <si>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</si>
  <si>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</si>
  <si>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</si>
  <si>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</si>
  <si>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</si>
  <si>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</si>
  <si>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</si>
  <si>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</si>
  <si>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</si>
  <si>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</si>
  <si>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</si>
  <si>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</si>
  <si>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</si>
  <si>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</si>
  <si>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</si>
  <si>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</si>
  <si>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</si>
  <si>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</si>
  <si>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</si>
  <si>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</si>
  <si>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</si>
  <si>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</si>
  <si>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</si>
  <si>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</si>
  <si>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</si>
  <si>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</si>
  <si>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</si>
  <si>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</si>
  <si>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</si>
  <si>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</si>
  <si>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</si>
  <si>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</si>
  <si>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</si>
  <si>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</si>
  <si>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</si>
  <si>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</si>
  <si>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</si>
  <si>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</si>
  <si>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</si>
  <si>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</si>
  <si>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</si>
  <si>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</si>
  <si>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</si>
  <si>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</si>
  <si>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</si>
  <si>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</si>
  <si>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</si>
  <si>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</si>
  <si>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</si>
  <si>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</si>
  <si>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</si>
  <si>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</si>
  <si>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</si>
  <si>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</si>
  <si>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</si>
  <si>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</si>
  <si>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</si>
  <si>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</si>
  <si>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</si>
  <si>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</si>
  <si>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</si>
  <si>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</si>
  <si>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</si>
  <si>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</si>
  <si>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</si>
  <si>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</si>
  <si>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</si>
  <si>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</si>
  <si>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</si>
  <si>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</si>
  <si>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</si>
  <si>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</si>
  <si>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</si>
  <si>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</si>
  <si>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</si>
  <si>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</si>
  <si>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</si>
  <si>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</si>
  <si>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</si>
  <si>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</si>
  <si>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</si>
  <si>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</si>
  <si>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</si>
  <si>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</si>
  <si>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</si>
  <si>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</si>
  <si>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</si>
  <si>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</si>
  <si>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</si>
  <si>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</si>
  <si>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</si>
  <si>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</si>
  <si>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</si>
  <si>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</si>
  <si>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</si>
  <si>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</si>
  <si>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</si>
  <si>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</si>
  <si>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</si>
  <si>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</si>
  <si>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</si>
  <si>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</si>
  <si>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</si>
  <si>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</si>
  <si>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</si>
  <si>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</si>
  <si>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</si>
  <si>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</si>
  <si>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</si>
  <si>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</si>
  <si>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</si>
  <si>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</si>
  <si>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</si>
  <si>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</si>
  <si>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</si>
  <si>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</si>
  <si>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</si>
  <si>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</si>
  <si>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</si>
  <si>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</si>
  <si>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</si>
  <si>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</si>
  <si>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</si>
  <si>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</si>
  <si>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</si>
  <si>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</si>
  <si>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</si>
  <si>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</si>
  <si>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</si>
  <si>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</si>
  <si>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</si>
  <si>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</si>
  <si>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</si>
  <si>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</si>
  <si>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</si>
  <si>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</si>
  <si>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</si>
  <si>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</si>
  <si>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</si>
  <si>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</si>
  <si>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</si>
  <si>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</si>
  <si>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</si>
  <si>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</si>
  <si>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</si>
  <si>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</si>
  <si>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</si>
  <si>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</si>
  <si>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</si>
  <si>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</si>
  <si>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</si>
  <si>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</si>
  <si>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</si>
  <si>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</si>
  <si>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</si>
  <si>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</si>
  <si>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</si>
  <si>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</si>
  <si>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</si>
  <si>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</si>
  <si>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</si>
  <si>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</si>
  <si>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</si>
  <si>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</si>
  <si>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</si>
  <si>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</si>
  <si>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</si>
  <si>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</si>
  <si>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</si>
  <si>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</si>
  <si>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</si>
  <si>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</si>
  <si>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</si>
  <si>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</si>
  <si>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</si>
  <si>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</si>
  <si>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</si>
  <si>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</si>
  <si>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</si>
  <si>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</si>
  <si>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</si>
  <si>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</si>
  <si>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</si>
  <si>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</si>
  <si>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</si>
  <si>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</si>
  <si>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</si>
  <si>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</si>
  <si>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</si>
  <si>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</si>
  <si>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</si>
  <si>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</si>
  <si>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</si>
  <si>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</si>
  <si>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</si>
  <si>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</si>
  <si>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</si>
  <si>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</si>
  <si>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</si>
  <si>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</si>
  <si>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</si>
  <si>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</si>
  <si>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</si>
  <si>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</si>
  <si>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</si>
  <si>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</si>
  <si>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</si>
  <si>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</si>
  <si>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</si>
  <si>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</si>
  <si>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</si>
  <si>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</si>
  <si>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</si>
  <si>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</si>
  <si>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</si>
  <si>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</si>
  <si>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</si>
  <si>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</si>
  <si>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</si>
  <si>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</si>
  <si>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</si>
  <si>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</si>
  <si>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</si>
  <si>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</si>
  <si>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</si>
  <si>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</si>
  <si>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</si>
  <si>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</si>
  <si>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</si>
  <si>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</si>
  <si>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</si>
  <si>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</si>
  <si>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</si>
  <si>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</si>
  <si>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</si>
  <si>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</si>
  <si>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</si>
  <si>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</si>
  <si>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</si>
  <si>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</si>
  <si>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</si>
  <si>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</si>
  <si>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</si>
  <si>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</si>
  <si>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</si>
  <si>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</si>
  <si>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</si>
  <si>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</si>
  <si>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</si>
  <si>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</si>
  <si>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</si>
  <si>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</si>
  <si>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</si>
  <si>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</si>
  <si>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</si>
  <si>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</si>
  <si>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</si>
  <si>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</si>
  <si>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</si>
  <si>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</si>
  <si>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</si>
  <si>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</si>
  <si>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</si>
  <si>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</si>
  <si>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</si>
  <si>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</si>
  <si>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</si>
  <si>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</si>
  <si>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</si>
  <si>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</si>
  <si>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</si>
  <si>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</si>
  <si>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</si>
  <si>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</si>
  <si>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</si>
  <si>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</si>
  <si>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</si>
  <si>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</si>
  <si>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</si>
  <si>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</si>
  <si>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</si>
  <si>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</si>
  <si>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</si>
  <si>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</si>
  <si>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</si>
  <si>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</si>
  <si>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</si>
  <si>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</si>
  <si>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</si>
  <si>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</si>
  <si>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</si>
  <si>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</si>
  <si>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</si>
  <si>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</si>
  <si>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</si>
  <si>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</si>
  <si>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</si>
  <si>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</si>
  <si>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</si>
  <si>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</si>
  <si>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</si>
  <si>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</si>
  <si>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</si>
  <si>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</si>
  <si>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</si>
  <si>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</si>
  <si>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</si>
  <si>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</si>
  <si>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</si>
  <si>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</si>
  <si>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</si>
  <si>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</si>
  <si>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</si>
  <si>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</si>
  <si>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</si>
  <si>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</si>
  <si>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</si>
  <si>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</si>
  <si>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</si>
  <si>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</si>
  <si>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</si>
  <si>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</si>
  <si>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</si>
  <si>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</si>
  <si>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</si>
  <si>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</si>
  <si>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</si>
  <si>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</si>
  <si>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</si>
  <si>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</si>
  <si>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</si>
  <si>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</si>
  <si>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</si>
  <si>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</si>
  <si>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</si>
  <si>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</si>
  <si>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</si>
  <si>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</si>
  <si>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</si>
  <si>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</si>
  <si>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</si>
  <si>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</si>
  <si>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</si>
  <si>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</si>
  <si>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</si>
  <si>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</si>
  <si>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</si>
  <si>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</si>
  <si>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</si>
  <si>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</si>
  <si>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</si>
  <si>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</si>
  <si>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</si>
  <si>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</si>
  <si>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</si>
  <si>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</si>
  <si>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</si>
  <si>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</si>
  <si>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</si>
  <si>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</si>
  <si>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</si>
  <si>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</si>
  <si>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</si>
  <si>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</si>
  <si>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</si>
  <si>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</si>
  <si>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</si>
  <si>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</si>
  <si>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</si>
  <si>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</si>
  <si>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</si>
  <si>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</si>
  <si>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</si>
  <si>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</si>
  <si>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</si>
  <si>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</si>
  <si>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</si>
  <si>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</si>
  <si>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</si>
  <si>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</si>
  <si>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</si>
  <si>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</si>
  <si>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</si>
  <si>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</si>
  <si>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</si>
  <si>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</si>
  <si>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</si>
  <si>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</si>
  <si>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</si>
  <si>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</si>
  <si>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</si>
  <si>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</si>
  <si>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</si>
  <si>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</si>
  <si>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</si>
  <si>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</si>
  <si>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</si>
  <si>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</si>
  <si>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</si>
  <si>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</si>
  <si>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</si>
  <si>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</si>
  <si>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</si>
  <si>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</si>
  <si>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</si>
  <si>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</si>
  <si>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</si>
  <si>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</si>
  <si>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</si>
  <si>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</si>
  <si>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</si>
  <si>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</si>
  <si>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</si>
  <si>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</si>
  <si>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</si>
  <si>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</si>
  <si>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</si>
  <si>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</si>
  <si>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</si>
  <si>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</si>
  <si>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</si>
  <si>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</si>
  <si>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</si>
  <si>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</si>
  <si>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</si>
  <si>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</si>
  <si>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</si>
  <si>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</si>
  <si>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</si>
  <si>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</si>
  <si>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</si>
  <si>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</si>
  <si>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</si>
  <si>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</si>
  <si>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</si>
  <si>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</si>
  <si>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</si>
  <si>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</si>
  <si>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</si>
  <si>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</si>
  <si>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</si>
  <si>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</si>
  <si>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</si>
  <si>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</si>
  <si>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</si>
  <si>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</si>
  <si>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</si>
  <si>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</si>
  <si>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</si>
  <si>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</si>
  <si>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</si>
  <si>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</si>
  <si>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</si>
  <si>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</si>
  <si>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</si>
  <si>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</si>
  <si>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</si>
  <si>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</si>
  <si>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</si>
  <si>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</si>
  <si>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</si>
  <si>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</si>
  <si>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</si>
  <si>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</si>
  <si>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</si>
  <si>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</si>
  <si>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</si>
  <si>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</si>
  <si>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</si>
  <si>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</si>
  <si>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</si>
  <si>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</si>
  <si>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</si>
  <si>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</si>
  <si>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</si>
  <si>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</si>
  <si>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</si>
  <si>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</si>
  <si>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</si>
  <si>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</si>
  <si>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</si>
  <si>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</si>
  <si>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</si>
  <si>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</si>
  <si>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</si>
  <si>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</si>
  <si>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</si>
  <si>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</si>
  <si>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</si>
  <si>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</si>
  <si>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</si>
  <si>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</si>
  <si>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</si>
  <si>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</si>
  <si>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</si>
  <si>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</si>
  <si>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</si>
  <si>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</si>
  <si>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</si>
  <si>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</si>
  <si>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</si>
  <si>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</si>
  <si>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</si>
  <si>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</si>
  <si>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</si>
  <si>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</si>
  <si>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</si>
  <si>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</si>
  <si>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</si>
  <si>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</si>
  <si>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</si>
  <si>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</si>
  <si>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</si>
  <si>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</si>
  <si>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</si>
  <si>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</si>
  <si>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</si>
  <si>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</si>
  <si>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</si>
  <si>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</si>
  <si>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</si>
  <si>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</si>
  <si>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</si>
  <si>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</si>
  <si>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</si>
  <si>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</si>
  <si>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</si>
  <si>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</si>
  <si>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</si>
  <si>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</si>
  <si>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</si>
  <si>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</si>
  <si>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</si>
  <si>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</si>
  <si>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</si>
  <si>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</si>
  <si>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</si>
  <si>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</si>
  <si>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</si>
  <si>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</si>
  <si>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</si>
  <si>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</si>
  <si>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</si>
  <si>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</si>
  <si>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</si>
  <si>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</si>
  <si>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</si>
  <si>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</si>
  <si>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</si>
  <si>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</si>
  <si>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</si>
  <si>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</si>
  <si>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</si>
  <si>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</si>
  <si>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</si>
  <si>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</si>
  <si>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</si>
  <si>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</si>
  <si>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</si>
  <si>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</si>
  <si>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</si>
  <si>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</si>
  <si>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</si>
  <si>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</si>
  <si>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</si>
  <si>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</si>
  <si>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</si>
  <si>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</si>
  <si>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</si>
  <si>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</si>
  <si>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</si>
  <si>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</si>
  <si>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</si>
  <si>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</si>
  <si>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</si>
  <si>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</si>
  <si>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</si>
  <si>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</si>
  <si>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</si>
  <si>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</si>
  <si>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</si>
  <si>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</si>
  <si>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</si>
  <si>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</si>
  <si>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</si>
  <si>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</si>
  <si>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</si>
  <si>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</si>
  <si>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</si>
  <si>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</si>
  <si>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</si>
  <si>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</si>
  <si>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</si>
  <si>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</si>
  <si>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</si>
  <si>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</si>
  <si>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</si>
  <si>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</si>
  <si>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</si>
  <si>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</si>
  <si>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</si>
  <si>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</si>
  <si>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</si>
  <si>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</si>
  <si>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</si>
  <si>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</si>
  <si>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</si>
  <si>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</si>
  <si>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</si>
  <si>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</si>
  <si>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</si>
  <si>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</si>
  <si>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</si>
  <si>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</si>
  <si>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</si>
  <si>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</si>
  <si>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</si>
  <si>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</si>
  <si>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</si>
  <si>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</si>
  <si>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</si>
  <si>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</si>
  <si>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</si>
  <si>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</si>
  <si>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</si>
  <si>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</si>
  <si>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</si>
  <si>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</si>
  <si>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</si>
  <si>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</si>
  <si>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</si>
  <si>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</si>
  <si>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</si>
  <si>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</si>
  <si>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</si>
  <si>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</si>
  <si>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</si>
  <si>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</si>
  <si>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</si>
  <si>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</si>
  <si>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</si>
  <si>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</si>
  <si>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</si>
  <si>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</si>
  <si>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</si>
  <si>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</si>
  <si>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</si>
  <si>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</si>
  <si>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</si>
  <si>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</si>
  <si>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</si>
  <si>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</si>
  <si>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</si>
  <si>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</si>
  <si>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</si>
  <si>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</si>
  <si>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</si>
  <si>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</si>
  <si>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</si>
  <si>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</si>
  <si>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</si>
  <si>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</si>
  <si>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</si>
  <si>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</si>
  <si>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</si>
  <si>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</si>
  <si>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</si>
  <si>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</si>
  <si>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</si>
  <si>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</si>
  <si>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</si>
  <si>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</si>
  <si>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</si>
  <si>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</si>
  <si>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</si>
  <si>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</si>
  <si>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</si>
  <si>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</si>
  <si>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</si>
  <si>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</si>
  <si>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</si>
  <si>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</si>
  <si>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</si>
  <si>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</si>
  <si>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</si>
  <si>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</si>
  <si>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</si>
  <si>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</si>
  <si>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</si>
  <si>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</si>
  <si>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</si>
  <si>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</si>
  <si>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</si>
  <si>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</si>
  <si>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</si>
  <si>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</si>
  <si>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</si>
  <si>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</si>
  <si>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</si>
  <si>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</si>
  <si>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</si>
  <si>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</si>
  <si>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</si>
  <si>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</si>
  <si>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</si>
  <si>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</si>
  <si>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</si>
  <si>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</si>
  <si>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</si>
  <si>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</si>
  <si>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</si>
  <si>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</si>
  <si>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</si>
  <si>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</si>
  <si>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</si>
  <si>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</si>
  <si>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</si>
  <si>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</si>
  <si>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</si>
  <si>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</si>
  <si>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</si>
  <si>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</si>
  <si>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</si>
  <si>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</si>
  <si>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</si>
  <si>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</si>
  <si>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</si>
  <si>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</si>
  <si>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</si>
  <si>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</si>
  <si>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</si>
  <si>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</si>
  <si>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</si>
  <si>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</si>
  <si>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</si>
  <si>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</si>
  <si>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</si>
  <si>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</si>
  <si>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</si>
  <si>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</si>
  <si>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</si>
  <si>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</si>
  <si>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</si>
  <si>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</si>
  <si>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</si>
  <si>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</si>
  <si>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</si>
  <si>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</si>
  <si>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</si>
  <si>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</si>
  <si>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</si>
  <si>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</si>
  <si>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</si>
  <si>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</si>
  <si>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</si>
  <si>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</si>
  <si>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</si>
  <si>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</si>
  <si>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</si>
  <si>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</si>
  <si>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</si>
  <si>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</si>
  <si>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</si>
  <si>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</si>
  <si>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</si>
  <si>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</si>
  <si>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</si>
  <si>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</si>
  <si>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</si>
  <si>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</si>
  <si>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</si>
  <si>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</si>
  <si>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</si>
  <si>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</si>
  <si>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</si>
  <si>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</si>
  <si>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</si>
  <si>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</si>
  <si>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</si>
  <si>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</si>
  <si>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</si>
  <si>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</si>
  <si>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</si>
  <si>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</si>
  <si>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</si>
  <si>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</si>
  <si>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</si>
  <si>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</si>
  <si>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</si>
  <si>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</si>
  <si>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</si>
  <si>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</si>
  <si>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</si>
  <si>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</si>
  <si>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</si>
  <si>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</si>
  <si>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</si>
  <si>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</si>
  <si>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</si>
  <si>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</si>
  <si>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</si>
  <si>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</si>
  <si>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</si>
  <si>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</si>
  <si>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</si>
  <si>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</si>
  <si>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</si>
  <si>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</si>
  <si>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</si>
  <si>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</si>
  <si>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</si>
  <si>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</si>
  <si>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</si>
  <si>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</si>
  <si>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</si>
  <si>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</si>
  <si>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</si>
  <si>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</si>
  <si>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</si>
  <si>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</si>
  <si>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</si>
  <si>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</si>
  <si>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</si>
  <si>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</si>
  <si>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</si>
  <si>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</si>
  <si>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</si>
  <si>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</si>
  <si>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</si>
  <si>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</si>
  <si>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</si>
  <si>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</si>
  <si>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</si>
  <si>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</si>
  <si>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</si>
  <si>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</si>
  <si>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</si>
  <si>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</si>
  <si>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</si>
  <si>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</si>
  <si>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</si>
  <si>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</si>
  <si>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</si>
  <si>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</si>
  <si>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</si>
  <si>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</si>
  <si>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</si>
  <si>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</si>
  <si>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</si>
  <si>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</si>
  <si>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</si>
  <si>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</si>
  <si>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</si>
  <si>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</si>
  <si>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</si>
  <si>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</si>
  <si>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</si>
  <si>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</si>
  <si>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</si>
  <si>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</si>
  <si>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</si>
  <si>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</si>
  <si>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</si>
  <si>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</si>
  <si>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</si>
  <si>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</si>
  <si>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</si>
  <si>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</si>
  <si>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</si>
  <si>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</si>
  <si>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</si>
  <si>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</si>
  <si>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</si>
  <si>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</si>
  <si>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</si>
  <si>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</si>
  <si>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</si>
  <si>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</si>
  <si>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</si>
  <si>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</si>
  <si>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</si>
  <si>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</si>
  <si>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</si>
  <si>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</si>
  <si>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</si>
  <si>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</si>
  <si>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</si>
  <si>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</si>
  <si>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</si>
  <si>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</si>
  <si>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</si>
  <si>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</si>
  <si>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</si>
  <si>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</si>
  <si>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</si>
  <si>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</si>
  <si>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</si>
  <si>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</si>
  <si>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</si>
  <si>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</si>
  <si>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</si>
  <si>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</si>
  <si>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</si>
  <si>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</si>
  <si>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</si>
  <si>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</si>
  <si>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</si>
  <si>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</si>
  <si>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</si>
  <si>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</si>
  <si>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</si>
  <si>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</si>
  <si>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</si>
  <si>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</si>
  <si>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</si>
  <si>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</si>
  <si>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</si>
  <si>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</si>
  <si>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</si>
  <si>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</si>
  <si>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</si>
  <si>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</si>
  <si>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</si>
  <si>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</si>
  <si>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</si>
  <si>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</si>
  <si>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</si>
  <si>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</si>
  <si>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</si>
  <si>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</si>
  <si>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</si>
  <si>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</si>
  <si>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</si>
  <si>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</si>
  <si>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</si>
  <si>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</si>
  <si>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</si>
  <si>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</si>
  <si>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</si>
  <si>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</si>
  <si>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</si>
  <si>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</si>
  <si>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</si>
  <si>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</si>
  <si>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</si>
  <si>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</si>
  <si>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</si>
  <si>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</si>
  <si>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</si>
  <si>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</si>
  <si>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</si>
  <si>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</si>
  <si>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</si>
  <si>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</si>
  <si>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</si>
  <si>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</si>
  <si>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</si>
  <si>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</si>
  <si>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</si>
  <si>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</si>
  <si>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</si>
  <si>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</si>
  <si>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</si>
  <si>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</si>
  <si>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</si>
  <si>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</si>
  <si>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</si>
  <si>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</si>
  <si>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</si>
  <si>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</si>
  <si>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</si>
  <si>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</si>
  <si>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</si>
  <si>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</si>
  <si>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</si>
  <si>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</si>
  <si>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</si>
  <si>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</si>
  <si>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</si>
  <si>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</si>
  <si>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</si>
  <si>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</si>
  <si>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</si>
  <si>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</si>
  <si>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</si>
  <si>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</si>
  <si>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</si>
  <si>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</si>
  <si>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</si>
  <si>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</si>
  <si>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</si>
  <si>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</si>
  <si>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</si>
  <si>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</si>
  <si>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</si>
  <si>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</si>
  <si>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</si>
  <si>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</si>
  <si>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</si>
  <si>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</si>
  <si>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</si>
  <si>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</si>
  <si>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</si>
  <si>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</si>
  <si>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</si>
  <si>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</si>
  <si>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</si>
  <si>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</si>
  <si>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</si>
  <si>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</si>
  <si>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</si>
  <si>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</si>
  <si>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</si>
  <si>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</si>
  <si>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</si>
  <si>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</si>
  <si>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</si>
  <si>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</si>
  <si>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</si>
  <si>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</si>
  <si>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</si>
  <si>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</si>
  <si>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</si>
  <si>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</si>
  <si>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</si>
  <si>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</si>
  <si>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</si>
  <si>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</si>
  <si>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</si>
  <si>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</si>
  <si>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</si>
  <si>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</si>
  <si>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</si>
  <si>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</si>
  <si>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</si>
  <si>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</si>
  <si>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</si>
  <si>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</si>
  <si>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</si>
  <si>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</si>
  <si>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</si>
  <si>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</si>
  <si>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</si>
  <si>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</si>
  <si>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</si>
  <si>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</si>
  <si>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</si>
  <si>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</si>
  <si>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</si>
  <si>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</si>
  <si>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</si>
  <si>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</si>
  <si>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</si>
  <si>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</si>
  <si>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</si>
  <si>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</si>
  <si>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</si>
  <si>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</si>
  <si>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</si>
  <si>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</si>
  <si>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</si>
  <si>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</si>
  <si>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</si>
  <si>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</si>
  <si>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</si>
  <si>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</si>
  <si>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</si>
  <si>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</si>
  <si>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</si>
  <si>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</si>
  <si>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</si>
  <si>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</si>
  <si>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</si>
  <si>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</si>
  <si>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</si>
  <si>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</si>
  <si>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</si>
  <si>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</si>
  <si>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</si>
  <si>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</si>
  <si>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</si>
  <si>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</si>
  <si>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</si>
  <si>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</si>
  <si>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</si>
  <si>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</si>
  <si>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</si>
  <si>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</si>
  <si>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</si>
  <si>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</si>
  <si>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</si>
  <si>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</si>
  <si>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</si>
  <si>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</si>
  <si>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</si>
  <si>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</si>
  <si>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</si>
  <si>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</si>
  <si>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</si>
  <si>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</si>
  <si>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</si>
  <si>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</si>
  <si>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</si>
  <si>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</si>
  <si>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</si>
  <si>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</si>
  <si>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</si>
  <si>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</si>
  <si>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</si>
  <si>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</si>
  <si>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</si>
  <si>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</si>
  <si>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</si>
  <si>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</si>
  <si>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</si>
  <si>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</si>
  <si>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</si>
  <si>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</si>
  <si>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</si>
  <si>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</si>
  <si>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</si>
  <si>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</si>
  <si>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</si>
  <si>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</si>
  <si>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</si>
  <si>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</si>
  <si>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</si>
  <si>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</si>
  <si>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</si>
  <si>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</si>
  <si>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</si>
  <si>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</si>
  <si>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</si>
  <si>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</si>
  <si>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</si>
  <si>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</si>
  <si>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</si>
  <si>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</si>
  <si>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</si>
  <si>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</si>
  <si>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</si>
  <si>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</si>
  <si>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</si>
  <si>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</si>
  <si>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</si>
  <si>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</si>
  <si>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</si>
  <si>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</si>
  <si>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</si>
  <si>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</si>
  <si>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</si>
  <si>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</si>
  <si>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</si>
  <si>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</si>
  <si>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</si>
  <si>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</si>
  <si>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</si>
  <si>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</si>
  <si>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</si>
  <si>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</si>
  <si>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</si>
  <si>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</si>
  <si>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</si>
  <si>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</si>
  <si>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</si>
  <si>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</si>
  <si>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</si>
  <si>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</si>
  <si>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</si>
  <si>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</si>
  <si>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</si>
  <si>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</si>
  <si>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</si>
  <si>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</si>
  <si>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</si>
  <si>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</si>
  <si>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</si>
  <si>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</si>
  <si>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</si>
  <si>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</si>
  <si>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</si>
  <si>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</si>
  <si>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</si>
  <si>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</si>
  <si>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</si>
  <si>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</si>
  <si>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</si>
  <si>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</si>
  <si>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</si>
  <si>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</si>
  <si>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</si>
  <si>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</si>
  <si>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</si>
  <si>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</si>
  <si>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</si>
  <si>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</si>
  <si>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</si>
  <si>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</si>
  <si>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</si>
  <si>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</si>
  <si>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</si>
  <si>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</si>
  <si>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</si>
  <si>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</si>
  <si>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</si>
  <si>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</si>
  <si>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</si>
  <si>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</si>
  <si>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</si>
  <si>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</si>
  <si>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</si>
  <si>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</si>
  <si>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</si>
  <si>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</si>
  <si>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</si>
  <si>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</si>
  <si>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</si>
  <si>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</si>
  <si>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</si>
  <si>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</si>
  <si>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</si>
  <si>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</si>
  <si>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</si>
  <si>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</si>
  <si>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</si>
  <si>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</si>
  <si>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</si>
  <si>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</si>
  <si>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</si>
  <si>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</si>
  <si>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</si>
  <si>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</si>
  <si>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</si>
  <si>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</si>
  <si>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</si>
  <si>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</si>
  <si>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</si>
  <si>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</si>
  <si>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</si>
  <si>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</si>
  <si>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</si>
  <si>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</si>
  <si>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</si>
  <si>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</si>
  <si>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</si>
  <si>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</si>
  <si>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</si>
  <si>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</si>
  <si>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</si>
  <si>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</si>
  <si>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</si>
  <si>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</si>
  <si>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</si>
  <si>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</si>
  <si>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</si>
  <si>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</si>
  <si>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</si>
  <si>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</si>
  <si>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</si>
  <si>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</si>
  <si>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</si>
  <si>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</si>
  <si>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</si>
  <si>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</si>
  <si>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</si>
  <si>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</si>
  <si>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</si>
  <si>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</si>
  <si>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</si>
  <si>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</si>
  <si>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</si>
  <si>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</si>
  <si>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</si>
  <si>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</si>
  <si>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</si>
  <si>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</si>
  <si>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</si>
  <si>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</si>
  <si>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</si>
  <si>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</si>
  <si>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</si>
  <si>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</si>
  <si>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</si>
  <si>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</si>
  <si>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</si>
  <si>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</si>
  <si>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</si>
  <si>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</si>
  <si>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</si>
  <si>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</si>
  <si>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</si>
  <si>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</si>
  <si>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</si>
  <si>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</si>
  <si>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</si>
  <si>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</si>
  <si>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</si>
  <si>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</si>
  <si>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</si>
  <si>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</si>
  <si>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</si>
  <si>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</si>
  <si>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</si>
  <si>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</si>
  <si>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</si>
  <si>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</si>
  <si>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</si>
  <si>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</si>
  <si>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</si>
  <si>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</si>
  <si>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</si>
  <si>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</si>
  <si>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</si>
  <si>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</si>
  <si>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</si>
  <si>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</si>
  <si>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</si>
  <si>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</si>
  <si>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</si>
  <si>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</si>
  <si>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</si>
  <si>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</si>
  <si>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</si>
  <si>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</si>
  <si>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</si>
  <si>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</si>
  <si>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</si>
  <si>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</si>
  <si>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</si>
  <si>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</si>
  <si>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</si>
  <si>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</si>
  <si>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</si>
  <si>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</si>
  <si>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</si>
  <si>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</si>
  <si>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</si>
  <si>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</si>
  <si>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</si>
  <si>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</si>
  <si>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</si>
  <si>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</si>
  <si>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</si>
  <si>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</si>
  <si>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</si>
  <si>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</si>
  <si>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</si>
  <si>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</si>
  <si>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</si>
  <si>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</si>
  <si>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</si>
  <si>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</si>
  <si>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</si>
  <si>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</si>
  <si>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</si>
  <si>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</si>
  <si>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</si>
  <si>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</si>
  <si>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</si>
  <si>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</si>
  <si>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</si>
  <si>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</si>
  <si>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</si>
  <si>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</si>
  <si>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</si>
  <si>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</si>
  <si>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</si>
  <si>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</si>
  <si>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</si>
  <si>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</si>
  <si>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</si>
  <si>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</si>
  <si>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</si>
  <si>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</si>
  <si>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</si>
  <si>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</si>
  <si>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</si>
  <si>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</si>
  <si>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</si>
  <si>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</si>
  <si>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</si>
  <si>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</si>
  <si>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</si>
  <si>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</si>
  <si>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</si>
  <si>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</si>
  <si>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</si>
  <si>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</si>
  <si>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</si>
  <si>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</si>
  <si>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</si>
  <si>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</si>
  <si>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</si>
  <si>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</si>
  <si>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</si>
  <si>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</si>
  <si>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</si>
  <si>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</si>
  <si>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</si>
  <si>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</si>
  <si>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</si>
  <si>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</si>
  <si>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</si>
  <si>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</si>
  <si>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</si>
  <si>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</si>
  <si>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</si>
  <si>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</si>
  <si>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</si>
  <si>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</si>
  <si>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</si>
  <si>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</si>
  <si>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</si>
  <si>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</si>
  <si>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</si>
  <si>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</si>
  <si>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</si>
  <si>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</si>
  <si>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</si>
  <si>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</si>
  <si>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</si>
  <si>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</si>
  <si>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</si>
  <si>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</si>
  <si>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</si>
  <si>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</si>
  <si>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</si>
  <si>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</si>
  <si>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</si>
  <si>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</si>
  <si>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</si>
  <si>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</si>
  <si>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</si>
  <si>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</si>
  <si>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</si>
  <si>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</si>
  <si>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</si>
  <si>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</si>
  <si>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</si>
  <si>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</si>
  <si>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</si>
  <si>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</si>
  <si>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</si>
  <si>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</si>
  <si>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</si>
  <si>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</si>
  <si>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</si>
  <si>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</si>
  <si>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</si>
  <si>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</si>
  <si>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</si>
  <si>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</si>
  <si>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</si>
  <si>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</si>
  <si>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</si>
  <si>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</si>
  <si>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</si>
  <si>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</si>
  <si>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</si>
  <si>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</si>
  <si>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</si>
  <si>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</si>
  <si>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</si>
  <si>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</si>
  <si>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</si>
  <si>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</si>
  <si>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</si>
  <si>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</si>
  <si>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</si>
  <si>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</si>
  <si>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</si>
  <si>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</si>
  <si>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</si>
  <si>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</si>
  <si>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</si>
  <si>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</si>
  <si>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</si>
  <si>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</si>
  <si>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</si>
  <si>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</si>
  <si>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</si>
  <si>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</si>
  <si>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</si>
  <si>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</si>
  <si>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</si>
  <si>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</si>
  <si>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</si>
  <si>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</si>
  <si>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</si>
  <si>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</si>
  <si>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</si>
  <si>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</si>
  <si>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</si>
  <si>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</si>
  <si>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</si>
  <si>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</si>
  <si>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</si>
  <si>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</si>
  <si>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</si>
  <si>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</si>
  <si>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</si>
  <si>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</si>
  <si>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</si>
  <si>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</si>
  <si>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</si>
  <si>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</si>
  <si>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</si>
  <si>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</si>
  <si>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</si>
  <si>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</si>
  <si>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</si>
  <si>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</si>
  <si>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</si>
  <si>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</si>
  <si>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</si>
  <si>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</si>
  <si>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</si>
  <si>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</si>
  <si>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</si>
  <si>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</si>
  <si>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</si>
  <si>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</si>
  <si>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</si>
  <si>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</si>
  <si>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</si>
  <si>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</si>
  <si>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</si>
  <si>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</si>
  <si>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</si>
  <si>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</si>
  <si>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</si>
  <si>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</si>
  <si>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</si>
  <si>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</si>
  <si>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</si>
  <si>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</si>
  <si>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</si>
  <si>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</si>
  <si>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</si>
  <si>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</si>
  <si>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</si>
  <si>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</si>
  <si>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</si>
  <si>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</si>
  <si>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</si>
  <si>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</si>
  <si>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</si>
  <si>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</si>
  <si>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</si>
  <si>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</si>
  <si>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</si>
  <si>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</si>
  <si>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</si>
  <si>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</si>
  <si>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</si>
  <si>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</si>
  <si>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</si>
  <si>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</si>
  <si>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</si>
  <si>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</si>
  <si>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</si>
  <si>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</si>
  <si>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</si>
  <si>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</si>
  <si>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</si>
  <si>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</si>
  <si>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</si>
  <si>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</si>
  <si>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</si>
  <si>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</si>
  <si>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</si>
  <si>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</si>
  <si>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</si>
  <si>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</si>
  <si>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</si>
  <si>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</si>
  <si>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</si>
  <si>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</si>
  <si>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</si>
  <si>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</si>
  <si>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</si>
  <si>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</si>
  <si>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</si>
  <si>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</si>
  <si>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</si>
  <si>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</si>
  <si>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</si>
  <si>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</si>
  <si>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</si>
  <si>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</si>
  <si>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</si>
  <si>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</si>
  <si>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</si>
  <si>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</si>
  <si>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</si>
  <si>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</si>
  <si>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</si>
  <si>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</si>
  <si>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</si>
  <si>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</si>
  <si>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</si>
  <si>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</si>
  <si>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</si>
  <si>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</si>
  <si>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</si>
  <si>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</si>
  <si>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</si>
  <si>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</si>
  <si>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</si>
  <si>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</si>
  <si>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</si>
  <si>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</si>
  <si>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</si>
  <si>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</si>
  <si>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</si>
  <si>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</si>
  <si>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</si>
  <si>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</si>
  <si>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</si>
  <si>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</si>
  <si>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</si>
  <si>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</si>
  <si>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</si>
  <si>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</si>
  <si>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</si>
  <si>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</si>
  <si>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</si>
  <si>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</si>
  <si>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</si>
  <si>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</si>
  <si>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</si>
  <si>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</si>
  <si>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</si>
  <si>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</si>
  <si>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</si>
  <si>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</si>
  <si>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</si>
  <si>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</si>
  <si>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</si>
  <si>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</si>
  <si>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</si>
  <si>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</si>
  <si>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</si>
  <si>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</si>
  <si>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</si>
  <si>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</si>
  <si>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</si>
  <si>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</si>
  <si>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</si>
  <si>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</si>
  <si>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</si>
  <si>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</si>
  <si>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</si>
  <si>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</si>
  <si>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</si>
  <si>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</si>
  <si>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</si>
  <si>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</si>
  <si>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</si>
  <si>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</si>
  <si>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</si>
  <si>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</si>
  <si>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</si>
  <si>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</si>
  <si>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</si>
  <si>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</si>
  <si>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</si>
  <si>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</si>
  <si>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</si>
  <si>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</si>
  <si>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</si>
  <si>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</si>
  <si>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</si>
  <si>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</si>
  <si>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</si>
  <si>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</si>
  <si>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</si>
  <si>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</si>
  <si>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</si>
  <si>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</si>
  <si>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</si>
  <si>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</si>
  <si>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</si>
  <si>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</si>
  <si>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</si>
  <si>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</si>
  <si>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</si>
  <si>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</si>
  <si>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</si>
  <si>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</si>
  <si>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</si>
  <si>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</si>
  <si>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</si>
  <si>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</si>
  <si>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</si>
  <si>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</si>
  <si>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</si>
  <si>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</si>
  <si>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</si>
  <si>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</si>
  <si>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</si>
  <si>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</si>
  <si>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</si>
  <si>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</si>
  <si>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</si>
  <si>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</si>
  <si>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</si>
  <si>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</si>
  <si>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</si>
  <si>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</si>
  <si>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</si>
  <si>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</si>
  <si>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</si>
  <si>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</si>
  <si>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</si>
  <si>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</si>
  <si>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</si>
  <si>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</si>
  <si>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</si>
  <si>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</si>
  <si>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</si>
  <si>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</si>
  <si>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</si>
  <si>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</si>
  <si>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</si>
  <si>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</si>
  <si>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</si>
  <si>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</si>
  <si>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</si>
  <si>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</si>
  <si>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</si>
  <si>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</si>
  <si>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</si>
  <si>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</si>
  <si>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</si>
  <si>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</si>
  <si>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</si>
  <si>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</si>
  <si>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</si>
  <si>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</si>
  <si>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</si>
  <si>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</si>
  <si>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</si>
  <si>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</si>
  <si>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</si>
  <si>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</si>
  <si>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</si>
  <si>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</si>
  <si>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</si>
  <si>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</si>
  <si>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</si>
  <si>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</si>
  <si>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</si>
  <si>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</si>
  <si>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</si>
  <si>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</si>
  <si>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</si>
  <si>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</si>
  <si>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</si>
  <si>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</si>
  <si>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</si>
  <si>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</si>
  <si>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</si>
  <si>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</si>
  <si>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</si>
  <si>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</si>
  <si>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</si>
  <si>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</si>
  <si>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</si>
  <si>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</si>
  <si>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</si>
  <si>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</si>
  <si>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</si>
  <si>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</si>
  <si>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</si>
  <si>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</si>
  <si>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</si>
  <si>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</si>
  <si>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</si>
  <si>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</si>
  <si>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</si>
  <si>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</si>
  <si>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</si>
  <si>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</si>
  <si>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</si>
  <si>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</si>
  <si>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</si>
  <si>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</si>
  <si>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</si>
  <si>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</si>
  <si>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</si>
  <si>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</si>
  <si>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</si>
  <si>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</si>
  <si>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</si>
  <si>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</si>
  <si>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</si>
  <si>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</si>
  <si>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</si>
  <si>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</si>
  <si>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</si>
  <si>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</si>
  <si>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</si>
  <si>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</si>
  <si>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</si>
  <si>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</si>
  <si>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</si>
  <si>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</si>
  <si>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</si>
  <si>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</si>
  <si>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</si>
  <si>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</si>
  <si>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</si>
  <si>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</si>
  <si>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</si>
  <si>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</si>
  <si>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</si>
  <si>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</si>
  <si>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</si>
  <si>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</si>
  <si>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</si>
  <si>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</si>
  <si>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</si>
  <si>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</si>
  <si>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</si>
  <si>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</si>
  <si>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</si>
  <si>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</si>
  <si>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</si>
  <si>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</si>
  <si>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</si>
  <si>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</si>
  <si>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</si>
  <si>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</si>
  <si>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</si>
  <si>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</si>
  <si>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</si>
  <si>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</si>
  <si>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</si>
  <si>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</si>
  <si>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</si>
  <si>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</si>
  <si>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</si>
  <si>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</si>
  <si>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</si>
  <si>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</si>
  <si>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</si>
  <si>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</si>
  <si>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</si>
  <si>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</si>
  <si>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</si>
  <si>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</si>
  <si>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</si>
  <si>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</si>
  <si>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</si>
  <si>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</si>
  <si>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</si>
  <si>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</si>
  <si>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</si>
  <si>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</si>
  <si>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</si>
  <si>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</si>
  <si>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</si>
  <si>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</si>
  <si>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</si>
  <si>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</si>
  <si>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</si>
  <si>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</si>
  <si>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</si>
  <si>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</si>
  <si>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</si>
  <si>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</si>
  <si>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</si>
  <si>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</si>
  <si>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</si>
  <si>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</si>
  <si>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</si>
  <si>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</si>
  <si>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</si>
  <si>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</si>
  <si>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</si>
  <si>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</si>
  <si>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</si>
  <si>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</si>
  <si>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</si>
  <si>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</si>
  <si>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</si>
  <si>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</si>
  <si>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</si>
  <si>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</si>
  <si>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</si>
  <si>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</si>
  <si>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</si>
  <si>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</si>
  <si>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</si>
  <si>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</si>
  <si>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</si>
  <si>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</si>
  <si>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</si>
  <si>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</si>
  <si>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</si>
  <si>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</si>
  <si>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</si>
  <si>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</si>
  <si>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</si>
  <si>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</si>
  <si>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</si>
  <si>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</si>
  <si>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</si>
  <si>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</si>
  <si>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</si>
  <si>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</si>
  <si>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</si>
  <si>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</si>
  <si>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</si>
  <si>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</si>
  <si>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</si>
  <si>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</si>
  <si>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</si>
  <si>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</si>
  <si>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</si>
  <si>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</si>
  <si>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</si>
  <si>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</si>
  <si>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</si>
  <si>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</si>
  <si>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</si>
  <si>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</si>
  <si>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</si>
  <si>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</si>
  <si>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</si>
  <si>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</si>
  <si>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</si>
  <si>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</si>
  <si>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</si>
  <si>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</si>
  <si>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</si>
  <si>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</si>
  <si>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</si>
  <si>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</si>
  <si>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</si>
  <si>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</si>
  <si>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</si>
  <si>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</si>
  <si>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</si>
  <si>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</si>
  <si>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</si>
  <si>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</si>
  <si>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</si>
  <si>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</si>
  <si>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</si>
  <si>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</si>
  <si>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</si>
  <si>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</si>
  <si>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</si>
  <si>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</si>
  <si>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</si>
  <si>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</si>
  <si>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</si>
  <si>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</si>
  <si>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</si>
  <si>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</si>
  <si>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</si>
  <si>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</si>
  <si>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</si>
  <si>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</si>
  <si>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</si>
  <si>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</si>
  <si>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</si>
  <si>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</si>
  <si>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</si>
  <si>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</si>
  <si>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</si>
  <si>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</si>
  <si>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</si>
  <si>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</si>
  <si>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</si>
  <si>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</si>
  <si>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</si>
  <si>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</si>
  <si>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</si>
  <si>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</si>
  <si>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</si>
  <si>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</si>
  <si>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</si>
  <si>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</si>
  <si>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</si>
  <si>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</si>
  <si>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</si>
  <si>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</si>
  <si>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</si>
  <si>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</si>
  <si>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</si>
  <si>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</si>
  <si>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</si>
  <si>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</si>
  <si>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</si>
  <si>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</si>
  <si>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</si>
  <si>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</si>
  <si>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</si>
  <si>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</si>
  <si>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</si>
  <si>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</si>
  <si>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</si>
  <si>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</si>
  <si>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</si>
  <si>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</si>
  <si>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</si>
  <si>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</si>
  <si>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</si>
  <si>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</si>
  <si>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</si>
  <si>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</si>
  <si>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</si>
  <si>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</si>
  <si>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</si>
  <si>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</si>
  <si>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</si>
  <si>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</si>
  <si>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</si>
  <si>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</si>
  <si>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</si>
  <si>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</si>
  <si>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</si>
  <si>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</si>
  <si>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</si>
  <si>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</si>
  <si>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</si>
  <si>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</si>
  <si>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</si>
  <si>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</si>
  <si>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</si>
  <si>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</si>
  <si>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</si>
  <si>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</si>
  <si>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</si>
  <si>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</si>
  <si>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</si>
  <si>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</si>
  <si>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</si>
  <si>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</si>
  <si>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</si>
  <si>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</si>
  <si>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</si>
  <si>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</si>
  <si>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</si>
  <si>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</si>
  <si>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</si>
  <si>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</si>
  <si>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</si>
  <si>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</si>
  <si>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</si>
  <si>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</si>
  <si>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</si>
  <si>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</si>
  <si>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</si>
  <si>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</si>
  <si>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</si>
  <si>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</si>
  <si>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</si>
  <si>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</si>
  <si>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</si>
  <si>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</si>
  <si>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</si>
  <si>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</si>
  <si>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</si>
  <si>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</si>
  <si>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</si>
  <si>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</si>
  <si>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</si>
  <si>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</si>
  <si>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</si>
  <si>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</si>
  <si>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</si>
  <si>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</si>
  <si>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</si>
  <si>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</si>
  <si>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</si>
  <si>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</si>
  <si>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</si>
  <si>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</si>
  <si>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</si>
  <si>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</si>
  <si>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</si>
  <si>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</si>
  <si>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</si>
  <si>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</si>
  <si>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</si>
  <si>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</si>
  <si>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</si>
  <si>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</si>
  <si>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</si>
  <si>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</si>
  <si>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</si>
  <si>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</si>
  <si>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</si>
  <si>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</si>
  <si>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</si>
  <si>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</si>
  <si>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</si>
  <si>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</si>
  <si>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</si>
  <si>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</si>
  <si>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</si>
  <si>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</si>
  <si>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</si>
  <si>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</si>
  <si>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</si>
  <si>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</si>
  <si>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</si>
  <si>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</si>
  <si>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</si>
  <si>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</si>
  <si>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</si>
  <si>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</si>
  <si>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</si>
  <si>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</si>
  <si>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</si>
  <si>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</si>
  <si>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</si>
  <si>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</si>
  <si>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</si>
  <si>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</si>
  <si>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</si>
  <si>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</si>
  <si>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</si>
  <si>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</si>
  <si>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</si>
  <si>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</si>
  <si>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</si>
  <si>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</si>
  <si>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</si>
  <si>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</si>
  <si>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</si>
  <si>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</si>
  <si>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</si>
  <si>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</si>
  <si>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</si>
  <si>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</si>
  <si>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</si>
  <si>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</si>
  <si>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</si>
  <si>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</si>
  <si>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</si>
  <si>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</si>
  <si>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</si>
  <si>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</si>
  <si>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</si>
  <si>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</si>
  <si>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</si>
  <si>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</si>
  <si>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</si>
  <si>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</si>
  <si>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</si>
  <si>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</si>
  <si>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</si>
  <si>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</si>
  <si>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</si>
  <si>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</si>
  <si>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</si>
  <si>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</si>
  <si>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</si>
  <si>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</si>
  <si>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</si>
  <si>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</si>
  <si>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</si>
  <si>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</si>
  <si>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</si>
  <si>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</si>
  <si>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</si>
  <si>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</si>
  <si>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</si>
  <si>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</si>
  <si>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</si>
  <si>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</si>
  <si>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</si>
  <si>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</si>
  <si>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</si>
  <si>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</si>
  <si>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</si>
  <si>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</si>
  <si>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</si>
  <si>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</si>
  <si>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</si>
  <si>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</si>
  <si>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</si>
  <si>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</si>
  <si>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</si>
  <si>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</si>
  <si>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</si>
  <si>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</si>
  <si>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</si>
  <si>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</si>
  <si>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</si>
  <si>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</si>
  <si>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</si>
  <si>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</si>
  <si>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</si>
  <si>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</si>
  <si>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</si>
  <si>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</si>
  <si>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</si>
  <si>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</si>
  <si>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</si>
  <si>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</si>
  <si>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</si>
  <si>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</si>
  <si>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</si>
  <si>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</si>
  <si>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</si>
  <si>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</si>
  <si>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</si>
  <si>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</si>
  <si>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</si>
  <si>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</si>
  <si>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</si>
  <si>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</si>
  <si>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</si>
  <si>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</si>
  <si>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</si>
  <si>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</si>
  <si>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</si>
  <si>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</si>
  <si>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</si>
  <si>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</si>
  <si>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</si>
  <si>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</si>
  <si>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</si>
  <si>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</si>
  <si>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</si>
  <si>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</si>
  <si>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</si>
  <si>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</si>
  <si>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</si>
  <si>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</si>
  <si>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</si>
  <si>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</si>
  <si>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</si>
  <si>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</si>
  <si>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</si>
  <si>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</si>
  <si>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</si>
  <si>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</si>
  <si>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</si>
  <si>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</si>
  <si>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</si>
  <si>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</si>
  <si>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</si>
  <si>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</si>
  <si>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</si>
  <si>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</si>
  <si>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</si>
  <si>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</si>
  <si>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</si>
  <si>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</si>
  <si>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</si>
  <si>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</si>
  <si>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</si>
  <si>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</si>
  <si>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</si>
  <si>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</si>
  <si>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</si>
  <si>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</si>
  <si>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</si>
  <si>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</si>
  <si>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</si>
  <si>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</si>
  <si>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</si>
  <si>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</si>
  <si>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</si>
  <si>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</si>
  <si>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</si>
  <si>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</si>
  <si>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</si>
  <si>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</si>
  <si>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</si>
  <si>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</si>
  <si>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</si>
  <si>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</si>
  <si>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</si>
  <si>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</si>
  <si>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</si>
  <si>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</si>
  <si>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</si>
  <si>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</si>
  <si>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</si>
  <si>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</si>
  <si>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</si>
  <si>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</si>
  <si>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</si>
  <si>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</si>
  <si>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</si>
  <si>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</si>
  <si>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</si>
  <si>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</si>
  <si>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</si>
  <si>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</si>
  <si>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</si>
  <si>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</si>
  <si>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</si>
  <si>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</si>
  <si>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</si>
  <si>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</si>
  <si>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</si>
  <si>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</si>
  <si>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</si>
  <si>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</si>
  <si>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</si>
  <si>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</si>
  <si>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</si>
  <si>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</si>
  <si>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</si>
  <si>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</si>
  <si>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</si>
  <si>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</si>
  <si>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</si>
  <si>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</si>
  <si>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</si>
  <si>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</si>
  <si>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</si>
  <si>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</si>
  <si>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</si>
  <si>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</si>
  <si>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</si>
  <si>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</si>
  <si>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</si>
  <si>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</si>
  <si>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</si>
  <si>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</si>
  <si>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</si>
  <si>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</si>
  <si>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</si>
  <si>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</si>
  <si>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</si>
  <si>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</si>
  <si>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</si>
  <si>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</si>
  <si>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</si>
  <si>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</si>
  <si>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</si>
  <si>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</si>
  <si>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</si>
  <si>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</si>
  <si>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</si>
  <si>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</si>
  <si>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</si>
  <si>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</si>
  <si>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</si>
  <si>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</si>
  <si>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</si>
  <si>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</si>
  <si>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</si>
  <si>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</si>
  <si>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</si>
  <si>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</si>
  <si>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</si>
  <si>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</si>
  <si>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</si>
  <si>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</si>
  <si>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</si>
  <si>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</si>
  <si>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</si>
  <si>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</si>
  <si>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</si>
  <si>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</si>
  <si>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</si>
  <si>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</si>
  <si>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</si>
  <si>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</si>
  <si>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</si>
  <si>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</si>
  <si>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</si>
  <si>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</si>
  <si>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</si>
  <si>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</si>
  <si>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</si>
  <si>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</si>
  <si>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</si>
  <si>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</si>
  <si>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</si>
  <si>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</si>
  <si>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</si>
  <si>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</si>
  <si>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</si>
  <si>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</si>
  <si>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</si>
  <si>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</si>
  <si>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</si>
  <si>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</si>
  <si>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</si>
  <si>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</si>
  <si>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</si>
  <si>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</si>
  <si>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</si>
  <si>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</si>
  <si>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</si>
  <si>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</si>
  <si>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</si>
  <si>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</si>
  <si>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</si>
  <si>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</si>
  <si>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</si>
  <si>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</si>
  <si>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</si>
  <si>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</si>
  <si>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</si>
  <si>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</si>
  <si>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</si>
  <si>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</si>
  <si>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</si>
  <si>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</si>
  <si>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</si>
  <si>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</si>
  <si>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</si>
  <si>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</si>
  <si>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</si>
  <si>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</si>
  <si>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</si>
  <si>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</si>
  <si>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</si>
  <si>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</si>
  <si>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</si>
  <si>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</si>
  <si>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</si>
  <si>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</si>
  <si>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</si>
  <si>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</si>
  <si>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</si>
  <si>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</si>
  <si>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</si>
  <si>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</si>
  <si>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</si>
  <si>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</si>
  <si>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</si>
  <si>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</si>
  <si>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</si>
  <si>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</si>
  <si>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</si>
  <si>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</si>
  <si>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</si>
  <si>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</si>
  <si>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</si>
  <si>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</si>
  <si>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</si>
  <si>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</si>
  <si>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</si>
  <si>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</si>
  <si>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</si>
  <si>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</si>
  <si>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</si>
  <si>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</si>
  <si>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</si>
  <si>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</si>
  <si>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</si>
  <si>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</si>
  <si>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</si>
  <si>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</si>
  <si>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</si>
  <si>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</si>
  <si>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</si>
  <si>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</si>
  <si>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</si>
  <si>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</si>
  <si>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</si>
  <si>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</si>
  <si>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</si>
  <si>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</si>
  <si>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</si>
  <si>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</si>
  <si>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</si>
  <si>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</si>
  <si>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</si>
  <si>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</si>
  <si>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</si>
  <si>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</si>
  <si>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</si>
  <si>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</si>
  <si>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</si>
  <si>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</si>
  <si>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</si>
  <si>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</si>
  <si>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</si>
  <si>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</si>
  <si>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</si>
  <si>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</si>
  <si>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</si>
  <si>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</si>
  <si>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</si>
  <si>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</si>
  <si>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</si>
  <si>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</si>
  <si>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</si>
  <si>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</si>
  <si>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</si>
  <si>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</si>
  <si>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</si>
  <si>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</si>
  <si>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</si>
  <si>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</si>
  <si>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</si>
  <si>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</si>
  <si>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</si>
  <si>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</si>
  <si>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</si>
  <si>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</si>
  <si>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</si>
  <si>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</si>
  <si>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</si>
  <si>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</si>
  <si>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</si>
  <si>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</si>
  <si>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</si>
  <si>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</si>
  <si>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</si>
  <si>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</si>
  <si>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</si>
  <si>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</si>
  <si>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</si>
  <si>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</si>
  <si>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</si>
  <si>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</si>
  <si>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</si>
  <si>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</si>
  <si>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</si>
  <si>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</si>
  <si>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</si>
  <si>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</si>
  <si>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</si>
  <si>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</si>
  <si>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</si>
  <si>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</si>
  <si>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</si>
  <si>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</si>
  <si>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</si>
  <si>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</si>
  <si>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</si>
  <si>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</si>
  <si>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</si>
  <si>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</si>
  <si>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</si>
  <si>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</si>
  <si>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</si>
  <si>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</si>
  <si>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</si>
  <si>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</si>
  <si>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</si>
  <si>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</si>
  <si>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</si>
  <si>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</si>
  <si>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</si>
  <si>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</si>
  <si>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</si>
  <si>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</si>
  <si>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</si>
  <si>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</si>
  <si>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</si>
  <si>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</si>
  <si>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</si>
  <si>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</si>
  <si>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</si>
  <si>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</si>
  <si>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</si>
  <si>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</si>
  <si>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</si>
  <si>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</si>
  <si>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</si>
  <si>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</si>
  <si>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</si>
  <si>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</si>
  <si>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</si>
  <si>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</si>
  <si>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</si>
  <si>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</si>
  <si>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</si>
  <si>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</si>
  <si>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</si>
  <si>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</si>
  <si>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</si>
  <si>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</si>
  <si>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</si>
  <si>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</si>
  <si>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</si>
  <si>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</si>
  <si>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</si>
  <si>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</si>
  <si>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</si>
  <si>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</si>
  <si>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</si>
  <si>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</si>
  <si>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</si>
  <si>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</si>
  <si>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</si>
  <si>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</si>
  <si>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</si>
  <si>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</si>
  <si>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</si>
  <si>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</si>
  <si>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</si>
  <si>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</si>
  <si>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</si>
  <si>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</si>
  <si>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</si>
  <si>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</si>
  <si>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</si>
  <si>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</si>
  <si>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</si>
  <si>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</si>
  <si>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</si>
  <si>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</si>
  <si>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</si>
  <si>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</si>
  <si>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</si>
  <si>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</si>
  <si>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</si>
  <si>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</si>
  <si>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</si>
  <si>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</si>
  <si>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</si>
  <si>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</si>
  <si>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</si>
  <si>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</si>
  <si>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</si>
  <si>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</si>
  <si>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</si>
  <si>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</si>
  <si>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</si>
  <si>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</si>
  <si>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</si>
  <si>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</si>
  <si>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</si>
  <si>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</si>
  <si>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</si>
  <si>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</si>
  <si>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</si>
  <si>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</si>
  <si>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</si>
  <si>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</si>
  <si>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</si>
  <si>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</si>
  <si>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</si>
  <si>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</si>
  <si>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</si>
  <si>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</si>
  <si>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</si>
  <si>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</si>
  <si>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</si>
  <si>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</si>
  <si>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</si>
  <si>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</si>
  <si>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</si>
  <si>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</si>
  <si>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</si>
  <si>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</si>
  <si>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</si>
  <si>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</si>
  <si>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</si>
  <si>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</si>
  <si>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</si>
  <si>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</si>
  <si>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</si>
  <si>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</si>
  <si>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</si>
  <si>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</si>
  <si>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</si>
  <si>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</si>
  <si>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</si>
  <si>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</si>
  <si>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</si>
  <si>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</si>
  <si>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</si>
  <si>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</si>
  <si>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</si>
  <si>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</si>
  <si>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</si>
  <si>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</si>
  <si>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</si>
  <si>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</si>
  <si>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</si>
  <si>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</si>
  <si>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</si>
  <si>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</si>
  <si>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</si>
  <si>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</si>
  <si>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</si>
  <si>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</si>
  <si>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</si>
  <si>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</si>
  <si>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</si>
  <si>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</si>
  <si>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</si>
  <si>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</si>
  <si>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</si>
  <si>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</si>
  <si>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</si>
  <si>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</si>
  <si>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</si>
  <si>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</si>
  <si>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</si>
  <si>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</si>
  <si>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</si>
  <si>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</si>
  <si>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</si>
  <si>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</si>
  <si>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</si>
  <si>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</si>
  <si>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</si>
  <si>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</si>
  <si>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</si>
  <si>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</si>
  <si>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</si>
  <si>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</si>
  <si>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</si>
  <si>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</si>
  <si>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</si>
  <si>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</si>
  <si>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</si>
  <si>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</si>
  <si>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</si>
  <si>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</si>
  <si>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</si>
  <si>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</si>
  <si>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</si>
  <si>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</si>
  <si>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</si>
  <si>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</si>
  <si>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</si>
  <si>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</si>
  <si>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</si>
  <si>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</si>
  <si>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</si>
  <si>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</si>
  <si>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</si>
  <si>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</si>
  <si>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</si>
  <si>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</si>
  <si>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</si>
  <si>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</si>
  <si>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</si>
  <si>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</si>
  <si>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</si>
  <si>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</si>
  <si>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</si>
  <si>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</si>
  <si>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</si>
  <si>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</si>
  <si>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</si>
  <si>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</si>
  <si>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</si>
  <si>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</si>
  <si>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</si>
  <si>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</si>
  <si>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</si>
  <si>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</si>
  <si>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</si>
  <si>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</si>
  <si>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</si>
  <si>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</si>
  <si>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</si>
  <si>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</si>
  <si>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</si>
  <si>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</si>
  <si>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</si>
  <si>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</si>
  <si>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</si>
  <si>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</si>
  <si>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</si>
  <si>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</si>
  <si>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</si>
  <si>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</si>
  <si>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</si>
  <si>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</si>
  <si>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</si>
  <si>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</si>
  <si>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</si>
  <si>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</si>
  <si>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</si>
  <si>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</si>
  <si>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</si>
  <si>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</si>
  <si>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</si>
  <si>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</si>
  <si>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</si>
  <si>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</si>
  <si>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</si>
  <si>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</si>
  <si>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</si>
  <si>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</si>
  <si>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</si>
  <si>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</si>
  <si>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</si>
  <si>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</si>
  <si>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</si>
  <si>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</si>
  <si>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</si>
  <si>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</si>
  <si>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</si>
  <si>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</si>
  <si>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</si>
  <si>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</si>
  <si>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</si>
  <si>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</si>
  <si>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</si>
  <si>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</si>
  <si>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</si>
  <si>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</si>
  <si>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</si>
  <si>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</si>
  <si>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</si>
  <si>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</si>
  <si>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</si>
  <si>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</si>
  <si>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</si>
  <si>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</si>
  <si>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</si>
  <si>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</si>
  <si>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</si>
  <si>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</si>
  <si>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</si>
  <si>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</si>
  <si>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</si>
  <si>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</si>
  <si>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</si>
  <si>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</si>
  <si>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</si>
  <si>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</si>
  <si>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</si>
  <si>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</si>
  <si>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</si>
  <si>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</si>
  <si>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</si>
  <si>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</si>
  <si>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</si>
  <si>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</si>
  <si>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</si>
  <si>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</si>
  <si>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</si>
  <si>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</si>
  <si>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</si>
  <si>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</si>
  <si>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</si>
  <si>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</si>
  <si>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</si>
  <si>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</si>
  <si>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</si>
  <si>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</si>
  <si>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</si>
  <si>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</si>
  <si>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</si>
  <si>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</si>
  <si>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</si>
  <si>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</si>
  <si>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</si>
  <si>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</si>
  <si>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</si>
  <si>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</si>
  <si>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</si>
  <si>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</si>
  <si>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</si>
  <si>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</si>
  <si>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</si>
  <si>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</si>
  <si>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</si>
  <si>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</si>
  <si>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</si>
  <si>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</si>
  <si>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</si>
  <si>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</si>
  <si>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</si>
  <si>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</si>
  <si>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</si>
  <si>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</si>
  <si>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</si>
  <si>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</si>
  <si>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</si>
  <si>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</si>
  <si>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</si>
  <si>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</si>
  <si>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</si>
  <si>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</si>
  <si>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</si>
  <si>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</si>
  <si>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</si>
  <si>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</si>
  <si>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</si>
  <si>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</si>
  <si>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</si>
  <si>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</si>
  <si>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</si>
  <si>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</si>
  <si>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</si>
  <si>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</si>
  <si>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</si>
  <si>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</si>
  <si>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</si>
  <si>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</si>
  <si>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</si>
  <si>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</si>
  <si>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</si>
  <si>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</si>
  <si>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</si>
  <si>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</si>
  <si>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</si>
  <si>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</si>
  <si>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</si>
  <si>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</si>
  <si>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</si>
  <si>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</si>
  <si>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</si>
  <si>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</si>
  <si>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</si>
  <si>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</si>
  <si>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</si>
  <si>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</si>
  <si>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</si>
  <si>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</si>
  <si>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</si>
  <si>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</si>
  <si>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</si>
  <si>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</si>
  <si>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</si>
  <si>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</si>
  <si>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</si>
  <si>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</si>
  <si>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</si>
  <si>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</si>
  <si>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</si>
  <si>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</si>
  <si>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</si>
  <si>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</si>
  <si>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</si>
  <si>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</si>
  <si>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</si>
  <si>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</si>
  <si>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</si>
  <si>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</si>
  <si>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</si>
  <si>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</si>
  <si>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</si>
  <si>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</si>
  <si>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</si>
  <si>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</si>
  <si>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</si>
  <si>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</si>
  <si>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</si>
  <si>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</si>
  <si>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</si>
  <si>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</si>
  <si>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</si>
  <si>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</si>
  <si>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</si>
  <si>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</si>
  <si>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</si>
  <si>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</si>
  <si>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</si>
  <si>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</si>
  <si>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</si>
  <si>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</si>
  <si>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</si>
  <si>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</si>
  <si>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</si>
  <si>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</si>
  <si>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</si>
  <si>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</si>
  <si>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</si>
  <si>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</si>
  <si>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</si>
  <si>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</si>
  <si>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</si>
  <si>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</si>
  <si>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</si>
  <si>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</si>
  <si>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</si>
  <si>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</si>
  <si>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</si>
  <si>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</si>
  <si>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</si>
  <si>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</si>
  <si>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</si>
  <si>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</si>
  <si>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</si>
  <si>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</si>
  <si>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</si>
  <si>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</si>
  <si>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</si>
  <si>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</si>
  <si>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</si>
  <si>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</si>
  <si>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</si>
  <si>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</si>
  <si>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</si>
  <si>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</si>
  <si>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</si>
  <si>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</si>
  <si>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</si>
  <si>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</si>
  <si>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</si>
  <si>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</si>
  <si>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</si>
  <si>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</si>
  <si>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</si>
  <si>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</si>
  <si>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</si>
  <si>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</si>
  <si>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</si>
  <si>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</si>
  <si>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</si>
  <si>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</si>
  <si>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</si>
  <si>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</si>
  <si>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</si>
  <si>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</si>
  <si>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</si>
  <si>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</si>
  <si>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</si>
  <si>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</si>
  <si>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</si>
  <si>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</si>
  <si>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</si>
  <si>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</si>
  <si>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</si>
  <si>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</si>
  <si>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</si>
  <si>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</si>
  <si>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</si>
  <si>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</si>
  <si>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</si>
  <si>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</si>
  <si>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</si>
  <si>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</si>
  <si>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</si>
  <si>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</si>
  <si>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</si>
  <si>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</si>
  <si>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</si>
  <si>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</si>
  <si>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</si>
  <si>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</si>
  <si>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</si>
  <si>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</si>
  <si>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</si>
  <si>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</si>
  <si>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</si>
  <si>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</si>
  <si>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</si>
  <si>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</si>
  <si>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</si>
  <si>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</si>
  <si>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</si>
  <si>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</si>
  <si>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</si>
  <si>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</si>
  <si>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</si>
  <si>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</si>
  <si>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</si>
  <si>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</si>
  <si>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</si>
  <si>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</si>
  <si>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</si>
  <si>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</si>
  <si>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</si>
  <si>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</si>
  <si>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</si>
  <si>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</si>
  <si>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</si>
  <si>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</si>
  <si>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</si>
  <si>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</si>
  <si>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</si>
  <si>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</si>
  <si>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</si>
  <si>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</si>
  <si>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</si>
  <si>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</si>
  <si>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</si>
  <si>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</si>
  <si>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</si>
  <si>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</si>
  <si>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</si>
  <si>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</si>
  <si>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</si>
  <si>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</si>
  <si>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</si>
  <si>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</si>
  <si>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</si>
  <si>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</si>
  <si>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</si>
  <si>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</si>
  <si>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</si>
  <si>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</si>
  <si>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</si>
  <si>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</si>
  <si>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</si>
  <si>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</si>
  <si>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</si>
  <si>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</si>
  <si>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</si>
  <si>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</si>
  <si>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</si>
  <si>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</si>
  <si>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</si>
  <si>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</si>
  <si>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</si>
  <si>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</si>
  <si>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</si>
  <si>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</si>
  <si>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</si>
  <si>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</si>
  <si>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</si>
  <si>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</si>
  <si>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</si>
  <si>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</si>
  <si>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</si>
  <si>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</si>
  <si>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</si>
  <si>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</si>
  <si>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</si>
  <si>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</si>
  <si>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</si>
  <si>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</si>
  <si>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</si>
  <si>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</si>
  <si>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</si>
  <si>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</si>
  <si>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</si>
  <si>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</si>
  <si>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</si>
  <si>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</si>
  <si>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</si>
  <si>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</si>
  <si>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</si>
  <si>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</si>
  <si>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</si>
  <si>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</si>
  <si>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</si>
  <si>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</si>
  <si>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</si>
  <si>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</si>
  <si>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</si>
  <si>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</si>
  <si>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</si>
  <si>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</si>
  <si>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</si>
  <si>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</si>
  <si>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</si>
  <si>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</si>
  <si>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</si>
  <si>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</si>
  <si>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</si>
  <si>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</si>
  <si>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</si>
  <si>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</si>
  <si>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</si>
  <si>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</si>
  <si>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</si>
  <si>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</si>
  <si>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</si>
  <si>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</si>
  <si>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</si>
  <si>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</si>
  <si>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</si>
  <si>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</si>
  <si>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</si>
  <si>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</si>
  <si>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</si>
  <si>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</si>
  <si>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</si>
  <si>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</si>
  <si>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</si>
  <si>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</si>
  <si>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</si>
  <si>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</si>
  <si>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</si>
  <si>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</si>
  <si>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</si>
  <si>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</si>
  <si>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</si>
  <si>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</si>
  <si>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</si>
  <si>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</si>
  <si>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</si>
  <si>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</si>
  <si>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</si>
  <si>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</si>
  <si>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</si>
  <si>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</si>
  <si>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</si>
  <si>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</si>
  <si>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</si>
  <si>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</si>
  <si>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</si>
  <si>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</si>
  <si>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</si>
  <si>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</si>
  <si>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</si>
  <si>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</si>
  <si>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</si>
  <si>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</si>
  <si>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</si>
  <si>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</si>
  <si>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</si>
  <si>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</si>
  <si>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</si>
  <si>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</si>
  <si>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</si>
  <si>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</si>
  <si>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</si>
  <si>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</si>
  <si>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</si>
  <si>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</si>
  <si>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</si>
  <si>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</si>
  <si>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</si>
  <si>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</si>
  <si>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</si>
  <si>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</si>
  <si>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</si>
  <si>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</si>
  <si>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</si>
  <si>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</si>
  <si>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</si>
  <si>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</si>
  <si>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</si>
  <si>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</si>
  <si>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</si>
  <si>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</si>
  <si>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</si>
  <si>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</si>
  <si>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</si>
  <si>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</si>
  <si>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</si>
  <si>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</si>
  <si>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</si>
  <si>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</si>
  <si>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</si>
  <si>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</si>
  <si>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</si>
  <si>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</si>
  <si>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</si>
  <si>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</si>
  <si>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</si>
  <si>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</si>
  <si>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</si>
  <si>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</si>
  <si>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</si>
  <si>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</si>
  <si>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</si>
  <si>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</si>
  <si>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</si>
  <si>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</si>
  <si>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</si>
  <si>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</si>
  <si>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</si>
  <si>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</si>
  <si>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</si>
  <si>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</si>
  <si>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</si>
  <si>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</si>
  <si>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</si>
  <si>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</si>
  <si>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</si>
  <si>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</si>
  <si>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</si>
  <si>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</si>
  <si>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</si>
  <si>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</si>
  <si>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</si>
  <si>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</si>
  <si>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</si>
  <si>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</si>
  <si>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</si>
  <si>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</si>
  <si>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</si>
  <si>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</si>
  <si>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</si>
  <si>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</si>
  <si>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</si>
  <si>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</si>
  <si>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</si>
  <si>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</si>
  <si>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</si>
  <si>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</si>
  <si>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</si>
  <si>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</si>
  <si>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</si>
  <si>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</si>
  <si>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</si>
  <si>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</si>
  <si>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</si>
  <si>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</si>
  <si>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</si>
  <si>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</si>
  <si>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</si>
  <si>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</si>
  <si>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</si>
  <si>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</si>
  <si>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</si>
  <si>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</si>
  <si>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</si>
  <si>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</si>
  <si>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</si>
  <si>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</si>
  <si>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</si>
  <si>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</si>
  <si>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</si>
  <si>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</si>
  <si>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</si>
  <si>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</si>
  <si>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</si>
  <si>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</si>
  <si>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</si>
  <si>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</si>
  <si>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</si>
  <si>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</si>
  <si>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</si>
  <si>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</si>
  <si>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</si>
  <si>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</si>
  <si>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</si>
  <si>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</si>
  <si>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</si>
  <si>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</si>
  <si>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</si>
  <si>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</si>
  <si>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</si>
  <si>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</si>
  <si>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</si>
  <si>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</si>
  <si>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</si>
  <si>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</si>
  <si>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</si>
  <si>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</si>
  <si>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</si>
  <si>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</si>
  <si>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</si>
  <si>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</si>
  <si>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</si>
  <si>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</si>
  <si>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</si>
  <si>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</si>
  <si>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</si>
  <si>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</si>
  <si>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</si>
  <si>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</si>
  <si>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</si>
  <si>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</si>
  <si>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</si>
  <si>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</si>
  <si>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</si>
  <si>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</si>
  <si>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</si>
  <si>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</si>
  <si>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</si>
  <si>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</si>
  <si>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</si>
  <si>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</si>
  <si>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</si>
  <si>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</si>
  <si>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</si>
  <si>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</si>
  <si>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</si>
  <si>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</si>
  <si>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</si>
  <si>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</si>
  <si>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</si>
  <si>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</si>
  <si>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</si>
  <si>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</si>
  <si>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</si>
  <si>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</si>
  <si>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</si>
  <si>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</si>
  <si>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</si>
  <si>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</si>
  <si>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</si>
  <si>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</si>
  <si>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</si>
  <si>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</si>
  <si>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</si>
  <si>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</si>
  <si>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</si>
  <si>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</si>
  <si>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</si>
  <si>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</si>
  <si>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</si>
  <si>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</si>
  <si>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</si>
  <si>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</si>
  <si>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</si>
  <si>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</si>
  <si>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</si>
  <si>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</si>
  <si>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</si>
  <si>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</si>
  <si>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</si>
  <si>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</si>
  <si>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</si>
  <si>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</si>
  <si>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</si>
  <si>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</si>
  <si>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</si>
  <si>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</si>
  <si>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</si>
  <si>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</si>
  <si>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</si>
  <si>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</si>
  <si>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</si>
  <si>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</si>
  <si>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</si>
  <si>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</si>
  <si>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</si>
  <si>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</si>
  <si>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</si>
  <si>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</si>
  <si>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</si>
  <si>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</si>
  <si>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</si>
  <si>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</si>
  <si>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</si>
  <si>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</si>
  <si>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</si>
  <si>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</si>
  <si>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</si>
  <si>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</si>
  <si>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</si>
  <si>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</si>
  <si>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</si>
  <si>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</si>
  <si>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</si>
  <si>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</si>
  <si>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</si>
  <si>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</si>
  <si>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</si>
  <si>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</si>
  <si>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</si>
  <si>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</si>
  <si>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</si>
  <si>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</si>
  <si>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</si>
  <si>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</si>
  <si>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</si>
  <si>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</si>
  <si>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</si>
  <si>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</si>
  <si>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</si>
  <si>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</si>
  <si>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</si>
  <si>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</si>
  <si>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</si>
  <si>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</si>
  <si>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</si>
  <si>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</si>
  <si>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</si>
  <si>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</si>
  <si>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</si>
  <si>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</si>
  <si>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</si>
  <si>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</si>
  <si>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</si>
  <si>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</si>
  <si>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</si>
  <si>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</si>
  <si>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</si>
  <si>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</si>
  <si>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</si>
  <si>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</si>
  <si>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</si>
  <si>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</si>
  <si>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</si>
  <si>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</si>
  <si>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</si>
  <si>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</si>
  <si>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</si>
  <si>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</si>
  <si>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</si>
  <si>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</si>
  <si>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</si>
  <si>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</si>
  <si>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</si>
  <si>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</si>
  <si>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</si>
  <si>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</si>
  <si>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</si>
  <si>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</si>
  <si>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</si>
  <si>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</si>
  <si>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</si>
  <si>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</si>
  <si>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</si>
  <si>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</si>
  <si>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</si>
  <si>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</si>
  <si>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</si>
  <si>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</si>
  <si>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</si>
  <si>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</si>
  <si>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</si>
  <si>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</si>
  <si>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</si>
  <si>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</si>
  <si>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</si>
  <si>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</si>
  <si>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</si>
  <si>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</si>
  <si>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</si>
  <si>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</si>
  <si>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</si>
  <si>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</si>
  <si>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</si>
  <si>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</si>
  <si>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</si>
  <si>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</si>
  <si>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</si>
  <si>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</si>
  <si>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</si>
  <si>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</si>
  <si>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</si>
  <si>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</si>
  <si>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</si>
  <si>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</si>
  <si>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</si>
  <si>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</si>
  <si>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</si>
  <si>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</si>
  <si>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</si>
  <si>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</si>
  <si>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</si>
  <si>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</si>
  <si>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</si>
  <si>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</si>
  <si>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</si>
  <si>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</si>
  <si>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</si>
  <si>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</si>
  <si>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</si>
  <si>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</si>
  <si>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</si>
  <si>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</si>
  <si>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</si>
  <si>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</si>
  <si>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</si>
  <si>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</si>
  <si>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</si>
  <si>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</si>
  <si>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</si>
  <si>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</si>
  <si>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</si>
  <si>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</si>
  <si>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</si>
  <si>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</si>
  <si>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</si>
  <si>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</si>
  <si>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</si>
  <si>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</si>
  <si>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</si>
  <si>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</si>
  <si>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</si>
  <si>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</si>
  <si>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</si>
  <si>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</si>
  <si>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</si>
  <si>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</si>
  <si>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</si>
  <si>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</si>
  <si>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</si>
  <si>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</si>
  <si>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</si>
  <si>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</si>
  <si>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</si>
  <si>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</si>
  <si>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</si>
  <si>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</si>
  <si>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</si>
  <si>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</si>
  <si>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</si>
  <si>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</si>
  <si>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</si>
  <si>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</si>
  <si>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</si>
  <si>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</si>
  <si>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</si>
  <si>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</si>
  <si>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</si>
  <si>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</si>
  <si>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</si>
  <si>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</si>
  <si>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</si>
  <si>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</si>
  <si>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</si>
  <si>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</si>
  <si>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</si>
  <si>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</si>
  <si>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</si>
  <si>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</si>
  <si>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</si>
  <si>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</si>
  <si>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</si>
  <si>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</si>
  <si>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</si>
  <si>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</si>
  <si>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</si>
  <si>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</si>
  <si>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</si>
  <si>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</si>
  <si>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</si>
  <si>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</si>
  <si>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</si>
  <si>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</si>
  <si>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</si>
  <si>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</si>
  <si>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</si>
  <si>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</si>
  <si>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</si>
  <si>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</si>
  <si>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</si>
  <si>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</si>
  <si>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</si>
  <si>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</si>
  <si>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</si>
  <si>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</si>
  <si>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</si>
  <si>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</si>
  <si>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</si>
  <si>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</si>
  <si>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</si>
  <si>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</si>
  <si>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</si>
  <si>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</si>
  <si>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</si>
  <si>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</si>
  <si>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</si>
  <si>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</si>
  <si>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</si>
  <si>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</si>
  <si>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</si>
  <si>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</si>
  <si>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</si>
  <si>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</si>
  <si>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</si>
  <si>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</si>
  <si>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</si>
  <si>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</si>
  <si>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</si>
  <si>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</si>
  <si>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</si>
  <si>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</si>
  <si>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</si>
  <si>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</si>
  <si>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</si>
  <si>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</si>
  <si>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</si>
  <si>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</si>
  <si>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</si>
  <si>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</si>
  <si>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</si>
  <si>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</si>
  <si>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</si>
  <si>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</si>
  <si>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</si>
  <si>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</si>
  <si>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</si>
  <si>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</si>
  <si>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</si>
  <si>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</si>
  <si>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</si>
  <si>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</si>
  <si>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</si>
  <si>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</si>
  <si>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</si>
  <si>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</si>
  <si>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</si>
  <si>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</si>
  <si>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</si>
  <si>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</si>
  <si>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</si>
  <si>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</si>
  <si>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</si>
  <si>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</si>
  <si>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</si>
  <si>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</si>
  <si>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</si>
  <si>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</si>
  <si>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</si>
  <si>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</si>
  <si>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</si>
  <si>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</si>
  <si>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</si>
  <si>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</si>
  <si>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</si>
  <si>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</si>
  <si>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</si>
  <si>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</si>
  <si>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</si>
  <si>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</si>
  <si>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</si>
  <si>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</si>
  <si>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</si>
  <si>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</si>
  <si>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</si>
  <si>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</si>
  <si>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</si>
  <si>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</si>
  <si>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</si>
  <si>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</si>
  <si>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</si>
  <si>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</si>
  <si>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</si>
  <si>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</si>
  <si>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</si>
  <si>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</si>
  <si>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</si>
  <si>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</si>
  <si>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</si>
  <si>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</si>
  <si>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</si>
  <si>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</si>
  <si>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</si>
  <si>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</si>
  <si>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</si>
  <si>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</si>
  <si>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</si>
  <si>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</si>
  <si>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</si>
  <si>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</si>
  <si>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</si>
  <si>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</si>
  <si>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</si>
  <si>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</si>
  <si>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</si>
  <si>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</si>
  <si>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</si>
  <si>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</si>
  <si>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</si>
  <si>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</si>
  <si>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</si>
  <si>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</si>
  <si>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</si>
  <si>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</si>
  <si>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</si>
  <si>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</si>
  <si>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</si>
  <si>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</si>
  <si>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</si>
  <si>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</si>
  <si>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</si>
  <si>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</si>
  <si>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</si>
  <si>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</si>
  <si>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</si>
  <si>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</si>
  <si>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</si>
  <si>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</si>
  <si>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</si>
  <si>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</si>
  <si>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</si>
  <si>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</si>
  <si>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</si>
  <si>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</si>
  <si>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</si>
  <si>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</si>
  <si>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</si>
  <si>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</si>
  <si>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</si>
  <si>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</si>
  <si>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</si>
  <si>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</si>
  <si>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</si>
  <si>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</si>
  <si>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</si>
  <si>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</si>
  <si>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</si>
  <si>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</si>
  <si>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</si>
  <si>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</si>
  <si>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</si>
  <si>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</si>
  <si>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</si>
  <si>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</si>
  <si>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</si>
  <si>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</si>
  <si>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</si>
  <si>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</si>
  <si>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</si>
  <si>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</si>
  <si>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</si>
  <si>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</si>
  <si>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</si>
  <si>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</si>
  <si>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</si>
  <si>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</si>
  <si>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</si>
  <si>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</si>
  <si>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</si>
  <si>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</si>
  <si>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</si>
  <si>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</si>
  <si>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</si>
  <si>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</si>
  <si>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</si>
  <si>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</si>
  <si>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</si>
  <si>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</si>
  <si>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</si>
  <si>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</si>
  <si>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</si>
  <si>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</si>
  <si>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</si>
  <si>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</si>
  <si>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</si>
  <si>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</si>
  <si>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</si>
  <si>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</si>
  <si>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</si>
  <si>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</si>
  <si>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</si>
  <si>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</si>
  <si>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</si>
  <si>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</si>
  <si>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</si>
  <si>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</si>
  <si>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</si>
  <si>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</si>
  <si>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</si>
  <si>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</si>
  <si>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</si>
  <si>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</si>
  <si>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</si>
  <si>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</si>
  <si>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</si>
  <si>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</si>
  <si>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</si>
  <si>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</si>
  <si>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</si>
  <si>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</si>
  <si>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</si>
  <si>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</si>
  <si>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</si>
  <si>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</si>
  <si>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</si>
  <si>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</si>
  <si>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</si>
  <si>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</si>
  <si>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</si>
  <si>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</si>
  <si>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</si>
  <si>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</si>
  <si>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</si>
  <si>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</si>
  <si>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</si>
  <si>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</si>
  <si>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</si>
  <si>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</si>
  <si>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</si>
  <si>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</si>
  <si>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</si>
  <si>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</si>
  <si>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</si>
  <si>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</si>
  <si>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</si>
  <si>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</si>
  <si>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</si>
  <si>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</si>
  <si>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</si>
  <si>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</si>
  <si>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</si>
  <si>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</si>
  <si>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</si>
  <si>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</si>
  <si>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</si>
  <si>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</si>
  <si>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</si>
  <si>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</si>
  <si>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</si>
  <si>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</si>
  <si>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</si>
  <si>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</si>
  <si>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</si>
  <si>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Unincorporated County</t>
  </si>
  <si>
    <t>Magnolia Villas</t>
  </si>
  <si>
    <t>Volunteers of America Southeast</t>
  </si>
  <si>
    <t>Sherry Atchison</t>
  </si>
  <si>
    <t>Mobile</t>
  </si>
  <si>
    <t>Affordable Equity Partners, Inc.</t>
  </si>
  <si>
    <t>DCA GA South</t>
  </si>
  <si>
    <t>Low-Rise Elevator</t>
  </si>
  <si>
    <t>Electric Heat Pump</t>
  </si>
  <si>
    <t>Applicant is not claiming points in this section.</t>
  </si>
  <si>
    <t>Applicant is not claiming points in this section. The project is not a phased development.</t>
  </si>
  <si>
    <t>Applicant is not claiming points in this category. Project is located in a USDA rural area.</t>
  </si>
  <si>
    <t>TBD (only if Option A)</t>
  </si>
  <si>
    <t>Applicant agrees to partner with a CORES certified group to provide services to community resdents.</t>
  </si>
  <si>
    <t>City of Tifton</t>
  </si>
  <si>
    <t>The project is new construction only. Applicant is not claiming points in this section.</t>
  </si>
  <si>
    <t>Matt Wilson Elementary School (KK - 5)</t>
  </si>
  <si>
    <t>Eight Street Middle School (6 - 8)</t>
  </si>
  <si>
    <t>Tift County High School (9 - 12)</t>
  </si>
  <si>
    <t>Novogradac &amp; Company - National non-metro</t>
  </si>
  <si>
    <t>1204 Hillcrest Road</t>
  </si>
  <si>
    <t>satchison@voase.org</t>
  </si>
  <si>
    <t>Director of Project Development</t>
  </si>
  <si>
    <t>2022PA-059</t>
  </si>
  <si>
    <t>President</t>
  </si>
  <si>
    <t>HFOP</t>
  </si>
  <si>
    <t>Agree</t>
  </si>
  <si>
    <t>N/ap</t>
  </si>
  <si>
    <t>N/Ap</t>
  </si>
  <si>
    <t>Novogradac &amp; Company, LLP</t>
  </si>
  <si>
    <t>Room</t>
  </si>
  <si>
    <t>Gazebo</t>
  </si>
  <si>
    <t>On-site laundry</t>
  </si>
  <si>
    <t>N/a</t>
  </si>
  <si>
    <t>Cable TV &amp; Internet</t>
  </si>
  <si>
    <t>Amortizing</t>
  </si>
  <si>
    <t>9% Credit Competitive Round only</t>
  </si>
  <si>
    <t>Community Improvement Fund</t>
  </si>
  <si>
    <t>DDA/QCT</t>
  </si>
  <si>
    <t>Purchase Contract</t>
  </si>
  <si>
    <t>Georgia Power Company</t>
  </si>
  <si>
    <t>Applicant is not proposing a community service facility.</t>
  </si>
  <si>
    <t>The proposed project is new construction.</t>
  </si>
  <si>
    <t>Zeffert &amp; Associates</t>
  </si>
  <si>
    <t>Yes - W&amp;D hookups installed in each unit</t>
  </si>
  <si>
    <t>Not applicable.</t>
  </si>
  <si>
    <t>Volunteers of American Southeast, Inc.</t>
  </si>
  <si>
    <t>www.voase.org</t>
  </si>
  <si>
    <t>Proposed project is not an opccupied development. The property is currently vacant land.</t>
  </si>
  <si>
    <t>The project is targeting Seniors 55+.</t>
  </si>
  <si>
    <t>Applicant agrees to provide the above referenced required services.</t>
  </si>
  <si>
    <t>4-5 months</t>
  </si>
  <si>
    <t>5.3.22</t>
  </si>
  <si>
    <t>The project location is within 2.5 miles walking/driving from numerous desirables, including, but not limited to, a grocery store, public school, restaurants, pharmacy, place of worship, FDIC bank and others. The project is eligible for the full 20 desirable points in this section. There are no undesirables. The property does fall within a USDA Food Desert using the most recent USDA data available and showing "LI and LA at 1 and 20 miles" layer, however there is a Publix Grocery store within 1.7 miles from the projects location as well as a Walmart Supercenter within 1.6 miles.</t>
  </si>
  <si>
    <t>Pgs 4-8, 13-14, 18, 23-26</t>
  </si>
  <si>
    <t>36-39</t>
  </si>
  <si>
    <t>31-32</t>
  </si>
  <si>
    <t xml:space="preserve">The Magnolia Villas site is located within a qualified census tract that is included in the scope and boundary of the Tift County Carpenter/King/Whiddon Mill Road Corridor Redevelopment Plan. This plan was most recently updated and approved on July 20, 2020. Documentation for this plan and third party capital investment can be found in Tab 30 of the application. </t>
  </si>
  <si>
    <t>The proposed site is not within a local government boundary that has received an award of tax credits within the last six (6) DCA competitive round cycles. Applicant is eligible for 3 points.</t>
  </si>
  <si>
    <t>Soputh Georgia Regional Commission / Tifton Senior Center / Mids, Inc.</t>
  </si>
  <si>
    <t>sgrc@sgrc.us / contactus@midsinc.net / fkinchen@tifton.net</t>
  </si>
  <si>
    <t>www.sgrc.us/public-transit-services.html
www.midsinc.net
www.tifton.net/220/Senior-Center</t>
  </si>
  <si>
    <t>1-855-360-7475
229-391-3956
229-316-2153</t>
  </si>
  <si>
    <t>2020-039</t>
  </si>
  <si>
    <t>South Tifton Development</t>
  </si>
  <si>
    <t>2016-513</t>
  </si>
  <si>
    <t>Brookfield Mews Apt</t>
  </si>
  <si>
    <t>The Residences at West Haven</t>
  </si>
  <si>
    <t>2015-032</t>
  </si>
  <si>
    <t>2014-008</t>
  </si>
  <si>
    <t>The Groves Place</t>
  </si>
  <si>
    <t>2008-027</t>
  </si>
  <si>
    <t>Tifon Estates</t>
  </si>
  <si>
    <t>2005-009</t>
  </si>
  <si>
    <t>Wildwood Apartments</t>
  </si>
  <si>
    <t>2004-006</t>
  </si>
  <si>
    <t>The groves</t>
  </si>
  <si>
    <t>2008-073</t>
  </si>
  <si>
    <t>West Haven Senior Village</t>
  </si>
  <si>
    <t>2001-066</t>
  </si>
  <si>
    <t>Harbor Pointe</t>
  </si>
  <si>
    <t>Overall vacancy in the market is low at only 1.3%; however, the total LIHTC vacancy is significantly lower at 0%. Please see Tab 5 of the Application for the Market Study.
Additional DCA funded properties in the primary market area: Westbury Place (2011-F033), Tiffany Square (1995-144)and Magnolia Place (1994-007). Please see page 108 of the Market Study (located in Tab 5 of the application) noting that the market analysi does not believe that the subject will impact the performance of the existing LIHTC properties if allocated.</t>
  </si>
  <si>
    <t>Tift Magnlia Villas, LP</t>
  </si>
  <si>
    <t>Please see Tab 8 for evidence of site control through 12/31/2021. Pre-Contract Agreement is not included as HOME Funds were not awarded to the project.</t>
  </si>
  <si>
    <t>The proposed site is accessible by legally accessible paved roads. Please see Tab 9 for the required site access documentation.</t>
  </si>
  <si>
    <t>Please see Tab 10 for evidence the project is in compliance with zoning regulations and confirmed in writing by the authorized Local Government Official.</t>
  </si>
  <si>
    <t>Operating Utiities Confirmed by Georgia Power. Please see Tab 11 for documentation. There will be no gas.</t>
  </si>
  <si>
    <t xml:space="preserve">Operating Utiities Confirmed by the City of Tifton. Please see Tab 12 for documentation.      </t>
  </si>
  <si>
    <t>There are no pre-approval forms included in the application and applicant agrees to provide the standard site amenities in conformance with the DCA Amenities Guidebook. The proposed project is HFOP 55+ tenancy and applicant agrees to provide the additional required amenities.</t>
  </si>
  <si>
    <t>All relevant site information is in Tab 16 of the application.</t>
  </si>
  <si>
    <t xml:space="preserve">Applicant agrees that the proposed property will comply with Georgia State Minimum Standard Energy Code in effect at the time of permit issuance. Proof of compliance will be submitted prior to release of 8609's. Applicant agrees that the final construction documentswill clearly indicate all components of the building envelope and all materials and equipment will meet the requirements set forth in the QAP and DCA Architectural Manual. Please see Tab 17 for draft scoring worksheet.   </t>
  </si>
  <si>
    <t>If selected for funding, Applicant agrees to retain a DCA qualified consultant to monitor the project for accessibility compliance who will not be a member of the project team nor have an identity of interest with any member of the project team.</t>
  </si>
  <si>
    <t xml:space="preserve">Applicant agrees to meet all DCA requirements per the 2022 QAP and Architectural Standards and also agrees to provide free high-speed Wi-Fi internet access in the community building throughout the entirety of the compliance and extended use period. </t>
  </si>
  <si>
    <t>The certifying entity met the experience requirements in 2021. Please see Tab 20 for the Qaulification Determination letter. There have been no changes to the project team since pre-application.</t>
  </si>
  <si>
    <t>Please see Tab 22 for Non-profit information. The Applicant is not a CHDO and is not involved in a joint venture for the proposed project. The Applicant is also requesting consideration for the Exceptional Non-Profit points for the proposed project. Also in Tab 22 is the opinion of a third party attorney who specializes in tax law on the nonprofit's current federal tax exempt status.</t>
  </si>
  <si>
    <t>Please see Tab 24 for the required legal opinion on the Nonpforit's Federal Tax Exempt Qualifiation status.</t>
  </si>
  <si>
    <t>Applicant will prepare and submit an AFFH Marketing Plan with the required support documentation if selected for funding.</t>
  </si>
  <si>
    <t>Please see Tab 28 for Community Transportation documentation. Service is offered through Mids, Inc. and the South Georgia Regional Commission. The service is available to all residents of Tift County, is reliable and offer on-call on-site pickup. Additionally, through the South Georgia Regional Commission and the City of Tifton if you are over the age of 60 and need public transportation an option of free transportation is available throught the Tifton Senior Center.</t>
  </si>
  <si>
    <t>Applicant agrees to engage QB's in the development or operation of the proposed property in amounts equal to approximately 5% of total construction hard costs as certified by the Independent Auditor Report in the Final Allocation Application. Applicant will submit a report with Final Allocation Application describing these efforts and detailing sucesse, obstacles, and other notes pertaining to the Applicant's attempts to follow through on the commitment.</t>
  </si>
  <si>
    <t>The Applicant has controlling interest in the General Partnership and has agreed to contract with DCA PBRA under a prior QAP.</t>
  </si>
  <si>
    <t>IV. Deeper targeting / Rent / Income Restrictions: Applicant has selected income averaging and overall property median income, calculated based on the imputed income and rent limitations for each affordable unit is less than 58% (57.83% actual).
XI. Mixed Income Developments: Applicant has made the income averaging minimu set-aside election, and does not include market rate units.
XV. Extended Affordability Commitment: Owner is willing to forgo the  Qualified Contract "cancellation option" and agrees to the Waiver of Qualified Contract Right and Right of First Refusal.
XIX. Exceptional Nonprofit / Public Housing Authority: The Applicant is claimng Exceptional Nonprofit points for this Applicantion. The Applicant did not recieve these points in the prior years competitive round and was not awarded these points in 2020 or 2021. This is the only application from the Nonprofit Applicant requesting these points in this funding round. All required forms and documention is in Tab 40 of the Application.
XXII. Compliance Performance: The Applicant is in full compliance and should recieve the full 10 points in this section.</t>
  </si>
  <si>
    <t>Applicant has used the Georgia South Low-Rise Apartment utility allowances effective January 1, 2022. Documentation can be found in Tab 2 of the full application.</t>
  </si>
  <si>
    <t xml:space="preserve">Community Improvement Fund: The Developer will commit $20,000, funded out of the developer fee, to fund a reserve to support the provision of community services and resources to the residents of Magnolia Villas. The expenditures within the Community Improvement Fund will be documented for compliance purposes and will be spent within 5 years of Magnolia Vllas being placed in-service. Through community engagement and and local partnershipis VOASE plans to identify the greatest need in the community, pair that with their loacl partnerships and resources as well as the Tift County Carpenter/King/Whiddon Mill Road Corridor Redevelopment Plan to determine the highest and best impact these funds can make for the residents of this corridor in order to encourage growth improve housing availability and support community spirit and pride. 
</t>
  </si>
  <si>
    <t>rrogers@voase.org</t>
  </si>
  <si>
    <t>GP/LP Equity</t>
  </si>
  <si>
    <t>Volunteers of America Southeast, Inc.</t>
  </si>
  <si>
    <t>Please see Tab 02 for local government fee budget documentation. The proposed costs are considered to be reasonable.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cost per square foot budgets. Both total net residential square footage and estimated total gross square footage were considered in this analysis.</t>
  </si>
  <si>
    <t>Misc. Administrative Costs</t>
  </si>
  <si>
    <t>Please see Tab 02 for Insurance and Real Estate Tax documentation.</t>
  </si>
  <si>
    <t>The Applicant believes that Magnolia Villas represents reasonable development and construction costs.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cost per square foot budgets. Both total net residential square footage and estimated total gross square footage were considered in this analysis.</t>
  </si>
  <si>
    <t>The applicant believes that the proposed project is an optimal utilization of resources.</t>
  </si>
  <si>
    <t xml:space="preserve">The property falls within the Tift County Schools District boundary and is in the attendance zone of Matt Wilson Elementary School (Grades KK-5). Per the Tift County School District website, students within the attendance zone for Matt Wilson Elementary attend Eight Street Middle School (Grades 6-8) and all students within the Tift County School District will attend Tift County High School (only high school in the district, Grades 9-12). All schools qualify for points under DCA scoring option C, serving all K-12 grade levels, therefore the project is eleigible for 2 points as a HFOP 55+ tenancy. </t>
  </si>
  <si>
    <t>Please see Tab 41 for the GICH teams support letter executed by the primary contact on record and the letter from the Local government agreeing to the issuance of the support letter and also indicating that the proposed Magnolia Villas is located within the Tifton GICH community boundaries on EB Hamilton Road, which is a rapidly growing area within their community.</t>
  </si>
  <si>
    <t>Robert Rogers</t>
  </si>
  <si>
    <t>Geotechnical &amp; Environmental Consultants, Inc, A Terracon Co.</t>
  </si>
  <si>
    <t>&lt;65 dB</t>
  </si>
  <si>
    <t>Please see Tab 7 of the Application for the Environmental report.  Currently wetlands cover approximately 30.00% of the total site, however, the proposed site plan does not envision any construction/development activity occuring within the portion of the site covered by wetlands nor will there be any impact to the wetlands on the subject property. Applicant has not applied for HOME Funds.</t>
  </si>
  <si>
    <t>Please see Tab 6 for the appraisal. There is an IOI between the buyer and the seller. The seller did purchase the property w/in the past five (5) years and the purchase price reflects the Fair Market Value.</t>
  </si>
  <si>
    <t>Sterling Bank</t>
  </si>
  <si>
    <t>Applicant is not claiming points in this category.</t>
  </si>
  <si>
    <t xml:space="preserve">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7 letters confirming VOASE’s collaboration with 7 community organizations totaling over 76 years of combined partnerships.  Partner organizations cover a vast array of services including employment, health, transportation, and education as well as documented measurable results from each organization. The Community Improvement Fund will be utilized by VOASE to support the challenges and solutions identified through community engagement and outreach and included in the Community Transformation Plan.  VOASE identified members in the community to serve on the Community Quarterback Board who cover employment, local government, and health care sectors as well as two low-income community members who live in the Defined Neighborhood to actively participate in driving the Community Transformation Plan along side VOASE. VOASE has the documented breadth to undertake a meaningful Community Transformation Plan. Additional detail can be found in Tab 31 of the application. </t>
  </si>
  <si>
    <t>No debt service payment amounts deviate from the amount shown in Permanent Sources (Part III).</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</si>
</sst>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cellStyle name="Comma" xfId="1" builtinId="3"/>
    <cellStyle name="Comma 2" xfId="15"/>
    <cellStyle name="Comma 3" xfId="28"/>
    <cellStyle name="Comma 4" xfId="34"/>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 6" xfId="33"/>
    <cellStyle name="Normal_'96-'97 Rent Tables" xfId="9"/>
    <cellStyle name="Notes" xfId="25"/>
    <cellStyle name="OVERWRITE" xfId="26"/>
    <cellStyle name="Percent" xfId="10" builtinId="5"/>
    <cellStyle name="Percent [2]" xfId="11"/>
    <cellStyle name="Percent 2" xfId="27"/>
    <cellStyle name="Percent 3" xfId="29"/>
    <cellStyle name="Percent 4" xfId="35"/>
  </cellStyles>
  <dxfs count="121">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xmlns=""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xmlns=""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Magnolia Villas</v>
      </c>
    </row>
    <row r="3" spans="1:6" ht="15" customHeight="1">
      <c r="A3" s="849" t="str">
        <f>CONCATENATE('Part I-Project Identification'!F30,", ", 'Part I-Project Identification'!J30," County")</f>
        <v>Tifton, Tift County</v>
      </c>
    </row>
    <row r="4" spans="1:6" ht="12" customHeight="1">
      <c r="A4" s="1426"/>
    </row>
    <row r="5" spans="1:6" ht="72" customHeight="1">
      <c r="A5" s="3296" t="s">
        <v>6074</v>
      </c>
      <c r="B5" s="3297" t="s">
        <v>3899</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Y299"/>
  <sheetViews>
    <sheetView showGridLines="0" topLeftCell="A206" zoomScale="90" zoomScaleNormal="90" workbookViewId="0">
      <selection activeCell="L236" sqref="L236:M23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6399</v>
      </c>
      <c r="C1" s="2259" t="s">
        <v>164</v>
      </c>
      <c r="D1" s="2259" t="s">
        <v>166</v>
      </c>
      <c r="E1" s="2259" t="s">
        <v>6400</v>
      </c>
      <c r="F1" s="2259" t="s">
        <v>6401</v>
      </c>
      <c r="G1" s="2259" t="s">
        <v>6402</v>
      </c>
      <c r="H1" s="2259" t="s">
        <v>6403</v>
      </c>
      <c r="I1" s="2259" t="s">
        <v>6404</v>
      </c>
      <c r="J1" s="2259" t="s">
        <v>6405</v>
      </c>
      <c r="K1" s="2259" t="s">
        <v>3138</v>
      </c>
      <c r="L1" s="2259" t="s">
        <v>6406</v>
      </c>
      <c r="M1" s="2259" t="s">
        <v>6407</v>
      </c>
      <c r="N1" s="2259" t="s">
        <v>6408</v>
      </c>
      <c r="O1" s="2259" t="s">
        <v>6409</v>
      </c>
      <c r="P1" s="2259" t="s">
        <v>363</v>
      </c>
      <c r="Q1" s="2259" t="s">
        <v>6410</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Magnolia Villas, Tifton, Tift County</v>
      </c>
      <c r="B2" s="3973"/>
      <c r="C2" s="3973"/>
      <c r="D2" s="3973"/>
      <c r="E2" s="3973"/>
      <c r="F2" s="3973"/>
      <c r="G2" s="3973"/>
      <c r="H2" s="3973"/>
      <c r="I2" s="3973"/>
      <c r="J2" s="3973"/>
      <c r="K2" s="3973"/>
      <c r="L2" s="3973"/>
      <c r="M2" s="3973"/>
      <c r="N2" s="3973"/>
      <c r="O2" s="3973"/>
      <c r="P2" s="3973"/>
      <c r="Q2" s="3974"/>
      <c r="T2" s="1820" t="str">
        <f>A2</f>
        <v>PART FOUR - PROJECTED REVENUES &amp; EXPENSES  -  2022-0 Magnolia Villas, Tifton, Tift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6096</v>
      </c>
      <c r="E4" s="1929"/>
      <c r="F4" s="1929"/>
      <c r="G4" s="1929"/>
      <c r="H4" s="1929"/>
      <c r="I4" s="1929"/>
      <c r="J4" s="1929"/>
      <c r="K4" s="122"/>
      <c r="L4" s="122"/>
      <c r="M4" s="122"/>
      <c r="O4" s="192" t="s">
        <v>534</v>
      </c>
      <c r="P4" s="3977" t="str">
        <f>'Part I-Project Identification'!$O$32</f>
        <v>Tift Co.</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3206</v>
      </c>
      <c r="R5" s="1053"/>
      <c r="S5" s="443"/>
      <c r="T5" s="443"/>
      <c r="U5" s="443"/>
      <c r="W5" s="444"/>
      <c r="X5" s="3861" t="s">
        <v>3683</v>
      </c>
      <c r="Y5" s="3861" t="s">
        <v>3684</v>
      </c>
      <c r="Z5" s="3861" t="s">
        <v>3685</v>
      </c>
      <c r="AA5" s="3861" t="s">
        <v>3686</v>
      </c>
      <c r="AB5" s="3861" t="s">
        <v>3687</v>
      </c>
      <c r="AC5" s="3861" t="s">
        <v>3688</v>
      </c>
      <c r="AD5" s="3861" t="s">
        <v>3689</v>
      </c>
      <c r="AE5" s="3861" t="s">
        <v>3690</v>
      </c>
      <c r="AF5" s="3861" t="s">
        <v>3691</v>
      </c>
      <c r="AG5" s="3861" t="s">
        <v>3692</v>
      </c>
      <c r="AH5" s="3861" t="s">
        <v>861</v>
      </c>
      <c r="AI5" s="3861" t="s">
        <v>705</v>
      </c>
      <c r="AJ5" s="3861" t="s">
        <v>706</v>
      </c>
      <c r="AK5" s="3861" t="s">
        <v>707</v>
      </c>
      <c r="AL5" s="3861" t="s">
        <v>708</v>
      </c>
      <c r="AM5" s="3861" t="s">
        <v>862</v>
      </c>
      <c r="AN5" s="3861" t="s">
        <v>2132</v>
      </c>
      <c r="AO5" s="3861" t="s">
        <v>2133</v>
      </c>
      <c r="AP5" s="3861" t="s">
        <v>2134</v>
      </c>
      <c r="AQ5" s="3861" t="s">
        <v>2135</v>
      </c>
      <c r="AR5" s="3861" t="s">
        <v>3694</v>
      </c>
      <c r="AS5" s="3861" t="s">
        <v>3695</v>
      </c>
      <c r="AT5" s="3861" t="s">
        <v>3696</v>
      </c>
      <c r="AU5" s="3861" t="s">
        <v>3697</v>
      </c>
      <c r="AV5" s="3861" t="s">
        <v>3693</v>
      </c>
      <c r="AW5" s="3861" t="s">
        <v>863</v>
      </c>
      <c r="AX5" s="3861" t="s">
        <v>2136</v>
      </c>
      <c r="AY5" s="3861" t="s">
        <v>2137</v>
      </c>
      <c r="AZ5" s="3861" t="s">
        <v>2138</v>
      </c>
      <c r="BA5" s="3861" t="s">
        <v>2139</v>
      </c>
      <c r="BB5" s="3861" t="s">
        <v>3698</v>
      </c>
      <c r="BC5" s="3861" t="s">
        <v>3699</v>
      </c>
      <c r="BD5" s="3861" t="s">
        <v>3700</v>
      </c>
      <c r="BE5" s="3861" t="s">
        <v>3701</v>
      </c>
      <c r="BF5" s="3861" t="s">
        <v>3702</v>
      </c>
      <c r="BG5" s="3861" t="s">
        <v>123</v>
      </c>
      <c r="BH5" s="3861" t="s">
        <v>2140</v>
      </c>
      <c r="BI5" s="3861" t="s">
        <v>2141</v>
      </c>
      <c r="BJ5" s="3861" t="s">
        <v>2142</v>
      </c>
      <c r="BK5" s="3861" t="s">
        <v>1081</v>
      </c>
      <c r="BL5" s="3861" t="s">
        <v>3703</v>
      </c>
      <c r="BM5" s="3861" t="s">
        <v>3704</v>
      </c>
      <c r="BN5" s="3861" t="s">
        <v>3705</v>
      </c>
      <c r="BO5" s="3861" t="s">
        <v>3706</v>
      </c>
      <c r="BP5" s="3861" t="s">
        <v>3707</v>
      </c>
      <c r="BQ5" s="3861" t="s">
        <v>517</v>
      </c>
      <c r="BR5" s="3861" t="s">
        <v>518</v>
      </c>
      <c r="BS5" s="3861" t="s">
        <v>535</v>
      </c>
      <c r="BT5" s="3861" t="s">
        <v>536</v>
      </c>
      <c r="BU5" s="3861" t="s">
        <v>537</v>
      </c>
      <c r="BV5" s="3861" t="s">
        <v>3708</v>
      </c>
      <c r="BW5" s="3861" t="s">
        <v>3709</v>
      </c>
      <c r="BX5" s="3861" t="s">
        <v>3710</v>
      </c>
      <c r="BY5" s="3861" t="s">
        <v>3711</v>
      </c>
      <c r="BZ5" s="3861" t="s">
        <v>3712</v>
      </c>
      <c r="CA5" s="3861" t="s">
        <v>538</v>
      </c>
      <c r="CB5" s="3861" t="s">
        <v>539</v>
      </c>
      <c r="CC5" s="3861" t="s">
        <v>540</v>
      </c>
      <c r="CD5" s="3861" t="s">
        <v>541</v>
      </c>
      <c r="CE5" s="3861" t="s">
        <v>542</v>
      </c>
      <c r="CF5" s="3861" t="s">
        <v>543</v>
      </c>
      <c r="CG5" s="3861" t="s">
        <v>544</v>
      </c>
      <c r="CH5" s="3861" t="s">
        <v>872</v>
      </c>
      <c r="CI5" s="3861" t="s">
        <v>873</v>
      </c>
      <c r="CJ5" s="3861" t="s">
        <v>874</v>
      </c>
      <c r="CK5" s="3861" t="s">
        <v>3718</v>
      </c>
      <c r="CL5" s="3861" t="s">
        <v>3719</v>
      </c>
      <c r="CM5" s="3861" t="s">
        <v>3720</v>
      </c>
      <c r="CN5" s="3861" t="s">
        <v>3721</v>
      </c>
      <c r="CO5" s="3861" t="s">
        <v>3722</v>
      </c>
      <c r="CP5" s="3861" t="s">
        <v>3713</v>
      </c>
      <c r="CQ5" s="3861" t="s">
        <v>3714</v>
      </c>
      <c r="CR5" s="3861" t="s">
        <v>3715</v>
      </c>
      <c r="CS5" s="3861" t="s">
        <v>3716</v>
      </c>
      <c r="CT5" s="3861" t="s">
        <v>3717</v>
      </c>
      <c r="CU5" s="3861" t="s">
        <v>3723</v>
      </c>
      <c r="CV5" s="3861" t="s">
        <v>3724</v>
      </c>
      <c r="CW5" s="3861" t="s">
        <v>3725</v>
      </c>
      <c r="CX5" s="3861" t="s">
        <v>3726</v>
      </c>
      <c r="CY5" s="3861" t="s">
        <v>3727</v>
      </c>
      <c r="CZ5" s="3861" t="s">
        <v>466</v>
      </c>
      <c r="DA5" s="3861" t="s">
        <v>467</v>
      </c>
      <c r="DB5" s="3861" t="s">
        <v>468</v>
      </c>
      <c r="DC5" s="3861" t="s">
        <v>469</v>
      </c>
      <c r="DD5" s="3861" t="s">
        <v>470</v>
      </c>
      <c r="DE5" s="3861" t="s">
        <v>3728</v>
      </c>
      <c r="DF5" s="3861" t="s">
        <v>3729</v>
      </c>
      <c r="DG5" s="3861" t="s">
        <v>3730</v>
      </c>
      <c r="DH5" s="3861" t="s">
        <v>3731</v>
      </c>
      <c r="DI5" s="3861" t="s">
        <v>3732</v>
      </c>
      <c r="DJ5" s="3861" t="s">
        <v>822</v>
      </c>
      <c r="DK5" s="3861" t="s">
        <v>823</v>
      </c>
      <c r="DL5" s="3861" t="s">
        <v>824</v>
      </c>
      <c r="DM5" s="3861" t="s">
        <v>825</v>
      </c>
      <c r="DN5" s="3861" t="s">
        <v>826</v>
      </c>
      <c r="DO5" s="3861" t="s">
        <v>827</v>
      </c>
      <c r="DP5" s="3861" t="s">
        <v>828</v>
      </c>
      <c r="DQ5" s="3861" t="s">
        <v>829</v>
      </c>
      <c r="DR5" s="3861" t="s">
        <v>830</v>
      </c>
      <c r="DS5" s="3861" t="s">
        <v>831</v>
      </c>
      <c r="DT5" s="3861" t="s">
        <v>3733</v>
      </c>
      <c r="DU5" s="3861" t="s">
        <v>3734</v>
      </c>
      <c r="DV5" s="3861" t="s">
        <v>3735</v>
      </c>
      <c r="DW5" s="3861" t="s">
        <v>3736</v>
      </c>
      <c r="DX5" s="3861" t="s">
        <v>3737</v>
      </c>
      <c r="DY5" s="3861" t="s">
        <v>3738</v>
      </c>
      <c r="DZ5" s="3861" t="s">
        <v>3739</v>
      </c>
      <c r="EA5" s="3861" t="s">
        <v>3740</v>
      </c>
      <c r="EB5" s="3861" t="s">
        <v>3741</v>
      </c>
      <c r="EC5" s="3861" t="s">
        <v>3742</v>
      </c>
      <c r="ED5" s="3861" t="s">
        <v>2236</v>
      </c>
      <c r="EE5" s="3861" t="s">
        <v>2237</v>
      </c>
      <c r="EF5" s="3861" t="s">
        <v>2238</v>
      </c>
      <c r="EG5" s="3861" t="s">
        <v>2239</v>
      </c>
      <c r="EH5" s="3861" t="s">
        <v>2240</v>
      </c>
      <c r="EI5" s="3861" t="s">
        <v>3743</v>
      </c>
      <c r="EJ5" s="3861" t="s">
        <v>3744</v>
      </c>
      <c r="EK5" s="3861" t="s">
        <v>3745</v>
      </c>
      <c r="EL5" s="3861" t="s">
        <v>3746</v>
      </c>
      <c r="EM5" s="3861" t="s">
        <v>3747</v>
      </c>
      <c r="EN5" s="3861" t="s">
        <v>3748</v>
      </c>
      <c r="EO5" s="3861" t="s">
        <v>3749</v>
      </c>
      <c r="EP5" s="3861" t="s">
        <v>3750</v>
      </c>
      <c r="EQ5" s="3861" t="s">
        <v>3751</v>
      </c>
      <c r="ER5" s="3861" t="s">
        <v>3752</v>
      </c>
      <c r="ES5" s="3861" t="s">
        <v>111</v>
      </c>
      <c r="ET5" s="3861" t="s">
        <v>1084</v>
      </c>
      <c r="EU5" s="3861" t="s">
        <v>1085</v>
      </c>
      <c r="EV5" s="3861" t="s">
        <v>1140</v>
      </c>
      <c r="EW5" s="3861" t="s">
        <v>1141</v>
      </c>
      <c r="EX5" s="3861" t="s">
        <v>126</v>
      </c>
      <c r="EY5" s="3861" t="s">
        <v>1142</v>
      </c>
      <c r="EZ5" s="3861" t="s">
        <v>1143</v>
      </c>
      <c r="FA5" s="3861" t="s">
        <v>1144</v>
      </c>
      <c r="FB5" s="3861" t="s">
        <v>1145</v>
      </c>
      <c r="FC5" s="3861" t="s">
        <v>3753</v>
      </c>
      <c r="FD5" s="3861" t="s">
        <v>3754</v>
      </c>
      <c r="FE5" s="3861" t="s">
        <v>3755</v>
      </c>
      <c r="FF5" s="3861" t="s">
        <v>3756</v>
      </c>
      <c r="FG5" s="3861" t="s">
        <v>3757</v>
      </c>
      <c r="FH5" s="3861" t="s">
        <v>125</v>
      </c>
      <c r="FI5" s="3861" t="s">
        <v>853</v>
      </c>
      <c r="FJ5" s="3861" t="s">
        <v>854</v>
      </c>
      <c r="FK5" s="3861" t="s">
        <v>855</v>
      </c>
      <c r="FL5" s="3861" t="s">
        <v>856</v>
      </c>
      <c r="FM5" s="3861" t="s">
        <v>3758</v>
      </c>
      <c r="FN5" s="3861" t="s">
        <v>3759</v>
      </c>
      <c r="FO5" s="3861" t="s">
        <v>3760</v>
      </c>
      <c r="FP5" s="3861" t="s">
        <v>3761</v>
      </c>
      <c r="FQ5" s="3861" t="s">
        <v>3762</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6097</v>
      </c>
      <c r="D6" s="1929"/>
      <c r="E6" s="1929"/>
      <c r="F6" s="1929"/>
      <c r="G6" s="1530" t="s">
        <v>194</v>
      </c>
      <c r="H6" s="3975" t="s">
        <v>6099</v>
      </c>
      <c r="I6" s="3976"/>
      <c r="J6" s="3976"/>
      <c r="K6" s="1054" t="s">
        <v>3138</v>
      </c>
      <c r="L6" s="3863" t="str">
        <f>'Part I-Project Identification'!$A$6</f>
        <v>May 12 2022 Core Application</v>
      </c>
      <c r="M6" s="3863"/>
      <c r="N6" s="3863"/>
      <c r="O6" s="2257" t="s">
        <v>6079</v>
      </c>
      <c r="P6" s="1915">
        <v>63400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6286</v>
      </c>
      <c r="MQ6" s="3861" t="s">
        <v>6287</v>
      </c>
      <c r="MR6" s="3861" t="s">
        <v>6288</v>
      </c>
      <c r="MS6" s="3861" t="s">
        <v>6289</v>
      </c>
      <c r="MT6" s="3861" t="s">
        <v>6290</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6098</v>
      </c>
      <c r="E7" s="4"/>
      <c r="G7" s="1575" t="s">
        <v>2654</v>
      </c>
      <c r="I7" s="3887" t="s">
        <v>4074</v>
      </c>
      <c r="J7" s="1054" t="s">
        <v>742</v>
      </c>
      <c r="K7" s="1054" t="s">
        <v>3185</v>
      </c>
      <c r="L7" s="3863"/>
      <c r="M7" s="3863"/>
      <c r="N7" s="3863"/>
      <c r="O7" s="2258" t="s">
        <v>6078</v>
      </c>
      <c r="P7" s="1971">
        <v>44562</v>
      </c>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3765</v>
      </c>
      <c r="C8" s="1"/>
      <c r="E8" s="1"/>
      <c r="F8" s="1"/>
      <c r="I8" s="3887"/>
      <c r="J8" s="1054" t="s">
        <v>743</v>
      </c>
      <c r="K8" s="1054" t="s">
        <v>3186</v>
      </c>
      <c r="L8" s="850"/>
      <c r="M8" s="850"/>
      <c r="N8" s="2256" t="s">
        <v>6484</v>
      </c>
      <c r="O8" s="3889" t="s">
        <v>6926</v>
      </c>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3766</v>
      </c>
      <c r="C9" s="1054" t="s">
        <v>165</v>
      </c>
      <c r="D9" s="1054" t="s">
        <v>510</v>
      </c>
      <c r="E9" s="1054" t="s">
        <v>1383</v>
      </c>
      <c r="F9" s="1054" t="s">
        <v>1383</v>
      </c>
      <c r="G9" s="3887" t="s">
        <v>6094</v>
      </c>
      <c r="H9" s="1928" t="s">
        <v>3303</v>
      </c>
      <c r="I9" s="3887"/>
      <c r="J9" s="3883" t="s">
        <v>6088</v>
      </c>
      <c r="K9" s="1054" t="s">
        <v>2218</v>
      </c>
      <c r="L9" s="3892" t="s">
        <v>139</v>
      </c>
      <c r="M9" s="3893"/>
      <c r="N9" s="1054" t="s">
        <v>2185</v>
      </c>
      <c r="O9" s="1054" t="s">
        <v>6487</v>
      </c>
      <c r="P9" s="3885" t="s">
        <v>6250</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6291</v>
      </c>
      <c r="IZ9" s="3861" t="s">
        <v>6291</v>
      </c>
      <c r="JA9" s="3861" t="s">
        <v>6291</v>
      </c>
      <c r="JB9" s="3861" t="s">
        <v>6291</v>
      </c>
      <c r="JC9" s="3861" t="s">
        <v>6291</v>
      </c>
      <c r="JD9" s="3861" t="s">
        <v>6292</v>
      </c>
      <c r="JE9" s="3861" t="s">
        <v>6292</v>
      </c>
      <c r="JF9" s="3861" t="s">
        <v>6292</v>
      </c>
      <c r="JG9" s="3861" t="s">
        <v>6292</v>
      </c>
      <c r="JH9" s="3861" t="s">
        <v>6292</v>
      </c>
      <c r="JI9" s="3861" t="s">
        <v>6294</v>
      </c>
      <c r="JJ9" s="3861" t="s">
        <v>6294</v>
      </c>
      <c r="JK9" s="3861" t="s">
        <v>6294</v>
      </c>
      <c r="JL9" s="3861" t="s">
        <v>6294</v>
      </c>
      <c r="JM9" s="3861" t="s">
        <v>6294</v>
      </c>
      <c r="JN9" s="3861" t="s">
        <v>6295</v>
      </c>
      <c r="JO9" s="3861" t="s">
        <v>6295</v>
      </c>
      <c r="JP9" s="3861" t="s">
        <v>6295</v>
      </c>
      <c r="JQ9" s="3861" t="s">
        <v>6295</v>
      </c>
      <c r="JR9" s="3861" t="s">
        <v>6295</v>
      </c>
      <c r="JS9" s="3861" t="s">
        <v>6296</v>
      </c>
      <c r="JT9" s="3861" t="s">
        <v>6296</v>
      </c>
      <c r="JU9" s="3861" t="s">
        <v>6296</v>
      </c>
      <c r="JV9" s="3861" t="s">
        <v>6296</v>
      </c>
      <c r="JW9" s="3861" t="s">
        <v>6296</v>
      </c>
      <c r="JX9" s="3861" t="s">
        <v>6488</v>
      </c>
      <c r="JY9" s="3861" t="s">
        <v>6488</v>
      </c>
      <c r="JZ9" s="3861" t="s">
        <v>6488</v>
      </c>
      <c r="KA9" s="3861" t="s">
        <v>6488</v>
      </c>
      <c r="KB9" s="3861" t="s">
        <v>6488</v>
      </c>
      <c r="KC9" s="3861" t="s">
        <v>6656</v>
      </c>
      <c r="KD9" s="3861" t="s">
        <v>6656</v>
      </c>
      <c r="KE9" s="3861" t="s">
        <v>6656</v>
      </c>
      <c r="KF9" s="3861" t="s">
        <v>6656</v>
      </c>
      <c r="KG9" s="3861" t="s">
        <v>6656</v>
      </c>
      <c r="KH9" s="3861" t="s">
        <v>6657</v>
      </c>
      <c r="KI9" s="3861" t="s">
        <v>6657</v>
      </c>
      <c r="KJ9" s="3861" t="s">
        <v>6657</v>
      </c>
      <c r="KK9" s="3861" t="s">
        <v>6657</v>
      </c>
      <c r="KL9" s="3861" t="s">
        <v>6657</v>
      </c>
      <c r="KM9" s="3861" t="s">
        <v>6298</v>
      </c>
      <c r="KN9" s="3861" t="s">
        <v>6298</v>
      </c>
      <c r="KO9" s="3861" t="s">
        <v>6298</v>
      </c>
      <c r="KP9" s="3861" t="s">
        <v>6298</v>
      </c>
      <c r="KQ9" s="3861" t="s">
        <v>6298</v>
      </c>
      <c r="KR9" s="3861" t="s">
        <v>6489</v>
      </c>
      <c r="KS9" s="3861" t="s">
        <v>6489</v>
      </c>
      <c r="KT9" s="3861" t="s">
        <v>6489</v>
      </c>
      <c r="KU9" s="3861" t="s">
        <v>6489</v>
      </c>
      <c r="KV9" s="3861" t="s">
        <v>6489</v>
      </c>
      <c r="KW9" s="3861" t="s">
        <v>6658</v>
      </c>
      <c r="KX9" s="3861" t="s">
        <v>6658</v>
      </c>
      <c r="KY9" s="3861" t="s">
        <v>6658</v>
      </c>
      <c r="KZ9" s="3861" t="s">
        <v>6658</v>
      </c>
      <c r="LA9" s="3861" t="s">
        <v>6658</v>
      </c>
      <c r="LB9" s="3861" t="s">
        <v>6659</v>
      </c>
      <c r="LC9" s="3861" t="s">
        <v>6659</v>
      </c>
      <c r="LD9" s="3861" t="s">
        <v>6659</v>
      </c>
      <c r="LE9" s="3861" t="s">
        <v>6659</v>
      </c>
      <c r="LF9" s="3861" t="s">
        <v>6659</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3935</v>
      </c>
      <c r="C10" s="1054" t="s">
        <v>164</v>
      </c>
      <c r="D10" s="1054" t="s">
        <v>166</v>
      </c>
      <c r="E10" s="1054" t="s">
        <v>1384</v>
      </c>
      <c r="F10" s="1054" t="s">
        <v>1204</v>
      </c>
      <c r="G10" s="3888"/>
      <c r="H10" s="1054" t="s">
        <v>6095</v>
      </c>
      <c r="I10" s="3888"/>
      <c r="J10" s="3884"/>
      <c r="K10" s="470" t="s">
        <v>334</v>
      </c>
      <c r="L10" s="1054" t="s">
        <v>1433</v>
      </c>
      <c r="M10" s="1054" t="s">
        <v>504</v>
      </c>
      <c r="N10" s="1054" t="s">
        <v>1383</v>
      </c>
      <c r="O10" s="1054" t="s">
        <v>6501</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3676</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6411</v>
      </c>
    </row>
    <row r="12" spans="1:493" ht="13.9" customHeight="1">
      <c r="A12" s="110" t="str">
        <f t="shared" si="0"/>
        <v/>
      </c>
      <c r="B12" s="1386" t="s">
        <v>3676</v>
      </c>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6412</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6413</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6414</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6415</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6416</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6417</v>
      </c>
    </row>
    <row r="18" spans="1:380" ht="13.9" customHeight="1">
      <c r="A18" s="110" t="str">
        <f t="shared" si="0"/>
        <v/>
      </c>
      <c r="B18" s="1423">
        <v>50</v>
      </c>
      <c r="C18" s="1388">
        <v>1</v>
      </c>
      <c r="D18" s="2304">
        <v>1</v>
      </c>
      <c r="E18" s="1389">
        <v>4</v>
      </c>
      <c r="F18" s="1389">
        <v>780</v>
      </c>
      <c r="G18" s="1389">
        <v>594</v>
      </c>
      <c r="H18" s="1389">
        <v>562</v>
      </c>
      <c r="I18" s="1389">
        <v>0</v>
      </c>
      <c r="J18" s="1405">
        <f>IF(C18="",0,HLOOKUP(C18,'Part IV-Utility Allowances'!$I$11:$M$22,12))</f>
        <v>97</v>
      </c>
      <c r="K18" s="1406"/>
      <c r="L18" s="1407">
        <f t="shared" si="1"/>
        <v>465</v>
      </c>
      <c r="M18" s="1407">
        <f t="shared" si="2"/>
        <v>1860</v>
      </c>
      <c r="N18" s="1408" t="s">
        <v>2654</v>
      </c>
      <c r="O18" s="2224" t="s">
        <v>6914</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4</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3120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4</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4</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4</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4</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6418</v>
      </c>
    </row>
    <row r="19" spans="1:380" ht="13.9" customHeight="1">
      <c r="A19" s="110" t="str">
        <f t="shared" si="0"/>
        <v/>
      </c>
      <c r="B19" s="1424">
        <v>60</v>
      </c>
      <c r="C19" s="167">
        <v>1</v>
      </c>
      <c r="D19" s="2302">
        <v>1</v>
      </c>
      <c r="E19" s="168">
        <v>7</v>
      </c>
      <c r="F19" s="168">
        <v>780</v>
      </c>
      <c r="G19" s="168">
        <v>713</v>
      </c>
      <c r="H19" s="168">
        <v>597</v>
      </c>
      <c r="I19" s="168">
        <v>0</v>
      </c>
      <c r="J19" s="959">
        <f>IF(C19="",0,HLOOKUP(C19,'Part IV-Utility Allowances'!$I$11:$M$22,12))</f>
        <v>97</v>
      </c>
      <c r="K19" s="826"/>
      <c r="L19" s="601">
        <f t="shared" si="1"/>
        <v>500</v>
      </c>
      <c r="M19" s="601">
        <f t="shared" si="2"/>
        <v>3500</v>
      </c>
      <c r="N19" s="890" t="s">
        <v>2654</v>
      </c>
      <c r="O19" s="2222" t="s">
        <v>6914</v>
      </c>
      <c r="P19" s="890" t="s">
        <v>2121</v>
      </c>
      <c r="Q19" s="16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7</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5460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7</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7</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7</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7</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6419</v>
      </c>
    </row>
    <row r="20" spans="1:380" ht="13.9" customHeight="1">
      <c r="A20" s="110" t="str">
        <f t="shared" si="0"/>
        <v/>
      </c>
      <c r="B20" s="1424">
        <v>70</v>
      </c>
      <c r="C20" s="167">
        <v>1</v>
      </c>
      <c r="D20" s="2302">
        <v>1</v>
      </c>
      <c r="E20" s="168">
        <v>1</v>
      </c>
      <c r="F20" s="168">
        <v>780</v>
      </c>
      <c r="G20" s="168">
        <v>832</v>
      </c>
      <c r="H20" s="168">
        <v>692</v>
      </c>
      <c r="I20" s="168">
        <v>0</v>
      </c>
      <c r="J20" s="959">
        <f>IF(C20="",0,HLOOKUP(C20,'Part IV-Utility Allowances'!$I$11:$M$22,12))</f>
        <v>97</v>
      </c>
      <c r="K20" s="826"/>
      <c r="L20" s="601">
        <f t="shared" si="1"/>
        <v>595</v>
      </c>
      <c r="M20" s="601">
        <f t="shared" si="2"/>
        <v>595</v>
      </c>
      <c r="N20" s="890" t="s">
        <v>2654</v>
      </c>
      <c r="O20" s="2222" t="s">
        <v>6914</v>
      </c>
      <c r="P20" s="890" t="s">
        <v>2121</v>
      </c>
      <c r="Q20" s="169" t="s">
        <v>2654</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f t="shared" si="9"/>
        <v>1</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f t="shared" si="124"/>
        <v>780</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1</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f t="shared" si="214"/>
        <v>1</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f t="shared" si="264"/>
        <v>1</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1</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6420</v>
      </c>
    </row>
    <row r="21" spans="1:380" ht="13.9" customHeight="1">
      <c r="A21" s="110" t="str">
        <f t="shared" si="0"/>
        <v/>
      </c>
      <c r="B21" s="1424">
        <v>50</v>
      </c>
      <c r="C21" s="167">
        <v>2</v>
      </c>
      <c r="D21" s="2302">
        <v>1</v>
      </c>
      <c r="E21" s="168">
        <v>11</v>
      </c>
      <c r="F21" s="168">
        <v>1038</v>
      </c>
      <c r="G21" s="168">
        <v>713</v>
      </c>
      <c r="H21" s="168">
        <v>684</v>
      </c>
      <c r="I21" s="168">
        <v>0</v>
      </c>
      <c r="J21" s="959">
        <f>IF(C21="",0,HLOOKUP(C21,'Part IV-Utility Allowances'!$I$11:$M$22,12))</f>
        <v>124</v>
      </c>
      <c r="K21" s="826"/>
      <c r="L21" s="601">
        <f t="shared" si="1"/>
        <v>560</v>
      </c>
      <c r="M21" s="601">
        <f t="shared" si="2"/>
        <v>6160</v>
      </c>
      <c r="N21" s="890" t="s">
        <v>2654</v>
      </c>
      <c r="O21" s="2222" t="s">
        <v>6914</v>
      </c>
      <c r="P21" s="890" t="s">
        <v>2121</v>
      </c>
      <c r="Q21" s="16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11</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11418</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11</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11</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11</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11</v>
      </c>
      <c r="MN21" s="2299">
        <f t="shared" si="336"/>
        <v>0</v>
      </c>
      <c r="MO21" s="2299">
        <f t="shared" si="337"/>
        <v>0</v>
      </c>
      <c r="MP21" s="2299">
        <f t="shared" si="328"/>
        <v>0</v>
      </c>
      <c r="MQ21" s="2299">
        <f t="shared" si="329"/>
        <v>0</v>
      </c>
      <c r="MR21" s="2299">
        <f t="shared" si="330"/>
        <v>0</v>
      </c>
      <c r="MS21" s="2299">
        <f t="shared" si="331"/>
        <v>0</v>
      </c>
      <c r="MT21" s="2299">
        <f t="shared" si="332"/>
        <v>0</v>
      </c>
      <c r="NP21" s="2259" t="s">
        <v>6421</v>
      </c>
    </row>
    <row r="22" spans="1:380" ht="13.9" customHeight="1">
      <c r="A22" s="110" t="str">
        <f t="shared" si="0"/>
        <v/>
      </c>
      <c r="B22" s="1424">
        <v>60</v>
      </c>
      <c r="C22" s="167">
        <v>2</v>
      </c>
      <c r="D22" s="2302">
        <v>1</v>
      </c>
      <c r="E22" s="168">
        <v>19</v>
      </c>
      <c r="F22" s="168">
        <v>1038</v>
      </c>
      <c r="G22" s="168">
        <v>856</v>
      </c>
      <c r="H22" s="168">
        <v>724</v>
      </c>
      <c r="I22" s="168">
        <v>0</v>
      </c>
      <c r="J22" s="959">
        <f>IF(C22="",0,HLOOKUP(C22,'Part IV-Utility Allowances'!$I$11:$M$22,12))</f>
        <v>124</v>
      </c>
      <c r="K22" s="826"/>
      <c r="L22" s="601">
        <f t="shared" si="1"/>
        <v>600</v>
      </c>
      <c r="M22" s="601">
        <f t="shared" si="2"/>
        <v>11400</v>
      </c>
      <c r="N22" s="890" t="s">
        <v>2654</v>
      </c>
      <c r="O22" s="2222" t="s">
        <v>6914</v>
      </c>
      <c r="P22" s="890" t="s">
        <v>2121</v>
      </c>
      <c r="Q22" s="16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19</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19722</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19</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19</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f t="shared" si="265"/>
        <v>19</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19</v>
      </c>
      <c r="MN22" s="2299">
        <f t="shared" si="336"/>
        <v>0</v>
      </c>
      <c r="MO22" s="2299">
        <f t="shared" si="337"/>
        <v>0</v>
      </c>
      <c r="MP22" s="2299">
        <f t="shared" si="328"/>
        <v>0</v>
      </c>
      <c r="MQ22" s="2299">
        <f t="shared" si="329"/>
        <v>0</v>
      </c>
      <c r="MR22" s="2299">
        <f t="shared" si="330"/>
        <v>0</v>
      </c>
      <c r="MS22" s="2299">
        <f t="shared" si="331"/>
        <v>0</v>
      </c>
      <c r="MT22" s="2299">
        <f t="shared" si="332"/>
        <v>0</v>
      </c>
      <c r="NP22" s="2259" t="s">
        <v>6422</v>
      </c>
    </row>
    <row r="23" spans="1:380" ht="13.9" customHeight="1">
      <c r="A23" s="110" t="str">
        <f t="shared" si="0"/>
        <v/>
      </c>
      <c r="B23" s="1424">
        <v>70</v>
      </c>
      <c r="C23" s="167">
        <v>2</v>
      </c>
      <c r="D23" s="2302">
        <v>1</v>
      </c>
      <c r="E23" s="168">
        <v>4</v>
      </c>
      <c r="F23" s="168">
        <v>1038</v>
      </c>
      <c r="G23" s="168">
        <v>999</v>
      </c>
      <c r="H23" s="168">
        <v>819</v>
      </c>
      <c r="I23" s="168">
        <v>0</v>
      </c>
      <c r="J23" s="959">
        <f>IF(C23="",0,HLOOKUP(C23,'Part IV-Utility Allowances'!$I$11:$M$22,12))</f>
        <v>124</v>
      </c>
      <c r="K23" s="826"/>
      <c r="L23" s="601">
        <f t="shared" si="1"/>
        <v>695</v>
      </c>
      <c r="M23" s="601">
        <f t="shared" si="2"/>
        <v>2780</v>
      </c>
      <c r="N23" s="890" t="s">
        <v>2654</v>
      </c>
      <c r="O23" s="2222" t="s">
        <v>6914</v>
      </c>
      <c r="P23" s="890" t="s">
        <v>2121</v>
      </c>
      <c r="Q23" s="169" t="s">
        <v>2654</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f t="shared" si="10"/>
        <v>4</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f t="shared" si="125"/>
        <v>4152</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4</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f t="shared" si="215"/>
        <v>4</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f t="shared" si="265"/>
        <v>4</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4</v>
      </c>
      <c r="MN23" s="2299">
        <f t="shared" si="336"/>
        <v>0</v>
      </c>
      <c r="MO23" s="2299">
        <f t="shared" si="337"/>
        <v>0</v>
      </c>
      <c r="MP23" s="2299">
        <f t="shared" si="328"/>
        <v>0</v>
      </c>
      <c r="MQ23" s="2299">
        <f t="shared" si="329"/>
        <v>0</v>
      </c>
      <c r="MR23" s="2299">
        <f t="shared" si="330"/>
        <v>0</v>
      </c>
      <c r="MS23" s="2299">
        <f t="shared" si="331"/>
        <v>0</v>
      </c>
      <c r="MT23" s="2299">
        <f t="shared" si="332"/>
        <v>0</v>
      </c>
      <c r="NP23" s="2259" t="s">
        <v>6423</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6424</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6425</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6426</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6427</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6428</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6429</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6430</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6431</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6432</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6433</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6434</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6435</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6436</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6437</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6438</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6439</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6440</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6441</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6442</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6443</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6444</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6445</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6446</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6447</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6448</v>
      </c>
    </row>
    <row r="49" spans="1:381" s="148" customFormat="1" ht="13.9" customHeight="1">
      <c r="A49" s="1826">
        <f>COUNT(A11,A12,A13,A14,A15,A16,A17,A18,A19,A20,A21,A22,A23,A24,A25,A26,A27,A28,A29,A30,A31,A32,A33,A34,A35,A36,A37,A38,A39,A40)</f>
        <v>0</v>
      </c>
      <c r="B49" s="3913" t="s">
        <v>3770</v>
      </c>
      <c r="C49" s="3914"/>
      <c r="D49" s="139" t="s">
        <v>955</v>
      </c>
      <c r="E49" s="1418">
        <f>SUM(E11:E48)</f>
        <v>46</v>
      </c>
      <c r="F49" s="1416">
        <f>(E11*F11+E12*F12+E13*F13+E14*F14+E15*F15+E16*F16+E17*F17+E18*F18+E19*F19+E20*F20+E21*F21+E22*F22+E23*F23+E24*F24+E25*F25+E26*F26+E27*F27+E28*F28+E29*F29+E30*F30+E31*F31+E32*F32+E33*F33+E34*F34+E35*F35+E36*F36+E37*F37+E38*F38+E39*F39+E40*F40+E41*F41+E42*F42+E43*F43+E44*F44+E45*F45+E46*F46+E47*F47+E48*F48)</f>
        <v>44652</v>
      </c>
      <c r="H49" s="3960" t="s">
        <v>3767</v>
      </c>
      <c r="I49" s="1419" t="s">
        <v>3768</v>
      </c>
      <c r="J49" s="1420" t="str">
        <f>IF(P67=0,"",IF(SUM(P58:P62)/P67&gt;=0.4,"Pass","Fail"))</f>
        <v>Pass</v>
      </c>
      <c r="K49" s="585"/>
      <c r="L49" s="894" t="s">
        <v>1226</v>
      </c>
      <c r="M49" s="124">
        <f>SUM(M11:M48)</f>
        <v>26295</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1</v>
      </c>
      <c r="AE49" s="2300">
        <f t="shared" si="339"/>
        <v>4</v>
      </c>
      <c r="AF49" s="2300">
        <f t="shared" si="339"/>
        <v>0</v>
      </c>
      <c r="AG49" s="2300">
        <f t="shared" si="339"/>
        <v>0</v>
      </c>
      <c r="AH49" s="2300">
        <f t="shared" si="339"/>
        <v>0</v>
      </c>
      <c r="AI49" s="2300">
        <f t="shared" si="339"/>
        <v>7</v>
      </c>
      <c r="AJ49" s="2300">
        <f t="shared" si="339"/>
        <v>19</v>
      </c>
      <c r="AK49" s="2300">
        <f t="shared" si="339"/>
        <v>0</v>
      </c>
      <c r="AL49" s="2300">
        <f t="shared" si="339"/>
        <v>0</v>
      </c>
      <c r="AM49" s="2300">
        <f>SUM(AM11:AM48)</f>
        <v>0</v>
      </c>
      <c r="AN49" s="2300">
        <f>SUM(AN11:AN48)</f>
        <v>4</v>
      </c>
      <c r="AO49" s="2300">
        <f>SUM(AO11:AO48)</f>
        <v>11</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780</v>
      </c>
      <c r="EP49" s="2300">
        <f t="shared" si="342"/>
        <v>4152</v>
      </c>
      <c r="EQ49" s="2300">
        <f t="shared" si="342"/>
        <v>0</v>
      </c>
      <c r="ER49" s="2300">
        <f t="shared" si="342"/>
        <v>0</v>
      </c>
      <c r="ES49" s="2300">
        <f t="shared" si="342"/>
        <v>0</v>
      </c>
      <c r="ET49" s="2300">
        <f t="shared" si="342"/>
        <v>5460</v>
      </c>
      <c r="EU49" s="2300">
        <f t="shared" si="342"/>
        <v>19722</v>
      </c>
      <c r="EV49" s="2300">
        <f t="shared" si="342"/>
        <v>0</v>
      </c>
      <c r="EW49" s="2300">
        <f t="shared" si="342"/>
        <v>0</v>
      </c>
      <c r="EX49" s="2300">
        <f t="shared" si="338"/>
        <v>0</v>
      </c>
      <c r="EY49" s="2300">
        <f t="shared" si="338"/>
        <v>3120</v>
      </c>
      <c r="EZ49" s="2300">
        <f t="shared" si="338"/>
        <v>11418</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12</v>
      </c>
      <c r="GI49" s="2300">
        <f t="shared" si="343"/>
        <v>34</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12</v>
      </c>
      <c r="IB49" s="2300">
        <f t="shared" si="344"/>
        <v>34</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SUM(JX11:JX48)</f>
        <v>0</v>
      </c>
      <c r="JY49" s="2300">
        <f>SUM(JY11:JY48)</f>
        <v>12</v>
      </c>
      <c r="JZ49" s="2300">
        <f>SUM(JZ11:JZ48)</f>
        <v>34</v>
      </c>
      <c r="KA49" s="2300">
        <f>SUM(KA11:KA48)</f>
        <v>0</v>
      </c>
      <c r="KB49" s="2300">
        <f>SUM(KB11:KB48)</f>
        <v>0</v>
      </c>
      <c r="KC49" s="2300">
        <f t="shared" si="344"/>
        <v>0</v>
      </c>
      <c r="KD49" s="2300">
        <f t="shared" si="344"/>
        <v>0</v>
      </c>
      <c r="KE49" s="2300">
        <f t="shared" si="344"/>
        <v>0</v>
      </c>
      <c r="KF49" s="2300">
        <f t="shared" si="344"/>
        <v>0</v>
      </c>
      <c r="KG49" s="2300">
        <f t="shared" si="344"/>
        <v>0</v>
      </c>
      <c r="KH49" s="2300">
        <f>SUM(KH11:KH48)</f>
        <v>0</v>
      </c>
      <c r="KI49" s="2300">
        <f>SUM(KI11:KI48)</f>
        <v>0</v>
      </c>
      <c r="KJ49" s="2300">
        <f>SUM(KJ11:KJ48)</f>
        <v>0</v>
      </c>
      <c r="KK49" s="2300">
        <f>SUM(KK11:KK48)</f>
        <v>0</v>
      </c>
      <c r="KL49" s="2300">
        <f>SUM(KL11:KL48)</f>
        <v>0</v>
      </c>
      <c r="KM49" s="2300">
        <f t="shared" ref="KM49:LA49" si="345">SUM(KM11:KM48)</f>
        <v>0</v>
      </c>
      <c r="KN49" s="2300">
        <f t="shared" si="345"/>
        <v>0</v>
      </c>
      <c r="KO49" s="2300">
        <f t="shared" si="345"/>
        <v>0</v>
      </c>
      <c r="KP49" s="2300">
        <f t="shared" si="345"/>
        <v>0</v>
      </c>
      <c r="KQ49" s="2300">
        <f t="shared" si="345"/>
        <v>0</v>
      </c>
      <c r="KR49" s="2300">
        <f>SUM(KR11:KR48)</f>
        <v>0</v>
      </c>
      <c r="KS49" s="2300">
        <f>SUM(KS11:KS48)</f>
        <v>0</v>
      </c>
      <c r="KT49" s="2300">
        <f>SUM(KT11:KT48)</f>
        <v>0</v>
      </c>
      <c r="KU49" s="2300">
        <f>SUM(KU11:KU48)</f>
        <v>0</v>
      </c>
      <c r="KV49" s="2300">
        <f>SUM(KV11:KV48)</f>
        <v>0</v>
      </c>
      <c r="KW49" s="2300">
        <f t="shared" si="345"/>
        <v>0</v>
      </c>
      <c r="KX49" s="2300">
        <f t="shared" si="345"/>
        <v>0</v>
      </c>
      <c r="KY49" s="2300">
        <f t="shared" si="345"/>
        <v>0</v>
      </c>
      <c r="KZ49" s="2300">
        <f t="shared" si="345"/>
        <v>0</v>
      </c>
      <c r="LA49" s="2300">
        <f t="shared" si="345"/>
        <v>0</v>
      </c>
      <c r="LB49" s="2300">
        <f>SUM(LB11:LB48)</f>
        <v>0</v>
      </c>
      <c r="LC49" s="2300">
        <f>SUM(LC11:LC48)</f>
        <v>0</v>
      </c>
      <c r="LD49" s="2300">
        <f>SUM(LD11:LD48)</f>
        <v>0</v>
      </c>
      <c r="LE49" s="2300">
        <f>SUM(LE11:LE48)</f>
        <v>0</v>
      </c>
      <c r="LF49" s="2300">
        <f>SUM(LF11:LF48)</f>
        <v>0</v>
      </c>
      <c r="LG49" s="2300">
        <f t="shared" ref="LG49:MU49" si="346">SUM(LG11:LG48)</f>
        <v>0</v>
      </c>
      <c r="LH49" s="2300">
        <f t="shared" si="346"/>
        <v>0</v>
      </c>
      <c r="LI49" s="2300">
        <f t="shared" si="346"/>
        <v>0</v>
      </c>
      <c r="LJ49" s="2300">
        <f t="shared" si="346"/>
        <v>0</v>
      </c>
      <c r="LK49" s="2300">
        <f t="shared" si="346"/>
        <v>0</v>
      </c>
      <c r="LL49" s="2300">
        <f t="shared" si="346"/>
        <v>0</v>
      </c>
      <c r="LM49" s="2300">
        <f t="shared" si="346"/>
        <v>0</v>
      </c>
      <c r="LN49" s="2300">
        <f t="shared" si="346"/>
        <v>0</v>
      </c>
      <c r="LO49" s="2300">
        <f t="shared" si="346"/>
        <v>0</v>
      </c>
      <c r="LP49" s="2300">
        <f t="shared" si="346"/>
        <v>0</v>
      </c>
      <c r="LQ49" s="2300">
        <f t="shared" si="346"/>
        <v>0</v>
      </c>
      <c r="LR49" s="2300">
        <f t="shared" si="346"/>
        <v>0</v>
      </c>
      <c r="LS49" s="2300">
        <f t="shared" si="346"/>
        <v>0</v>
      </c>
      <c r="LT49" s="2300">
        <f t="shared" si="346"/>
        <v>0</v>
      </c>
      <c r="LU49" s="2300">
        <f t="shared" si="346"/>
        <v>0</v>
      </c>
      <c r="LV49" s="2300">
        <f t="shared" si="346"/>
        <v>0</v>
      </c>
      <c r="LW49" s="2300">
        <f t="shared" si="346"/>
        <v>0</v>
      </c>
      <c r="LX49" s="2300">
        <f t="shared" si="346"/>
        <v>0</v>
      </c>
      <c r="LY49" s="2300">
        <f t="shared" si="346"/>
        <v>0</v>
      </c>
      <c r="LZ49" s="2300">
        <f t="shared" si="346"/>
        <v>0</v>
      </c>
      <c r="MA49" s="2300">
        <f t="shared" si="346"/>
        <v>0</v>
      </c>
      <c r="MB49" s="2300">
        <f t="shared" si="346"/>
        <v>0</v>
      </c>
      <c r="MC49" s="2300">
        <f t="shared" si="346"/>
        <v>0</v>
      </c>
      <c r="MD49" s="2300">
        <f t="shared" si="346"/>
        <v>0</v>
      </c>
      <c r="ME49" s="2300">
        <f t="shared" si="346"/>
        <v>0</v>
      </c>
      <c r="MF49" s="2300">
        <f t="shared" si="346"/>
        <v>0</v>
      </c>
      <c r="MG49" s="2300">
        <f t="shared" si="346"/>
        <v>0</v>
      </c>
      <c r="MH49" s="2300">
        <f t="shared" si="346"/>
        <v>0</v>
      </c>
      <c r="MI49" s="2300">
        <f t="shared" si="346"/>
        <v>0</v>
      </c>
      <c r="MJ49" s="2300">
        <f t="shared" si="346"/>
        <v>0</v>
      </c>
      <c r="MK49" s="2300">
        <f t="shared" si="346"/>
        <v>0</v>
      </c>
      <c r="ML49" s="2300">
        <f t="shared" si="346"/>
        <v>12</v>
      </c>
      <c r="MM49" s="2300">
        <f t="shared" si="346"/>
        <v>34</v>
      </c>
      <c r="MN49" s="2300">
        <f t="shared" si="346"/>
        <v>0</v>
      </c>
      <c r="MO49" s="2300">
        <f t="shared" si="346"/>
        <v>0</v>
      </c>
      <c r="MP49" s="2300">
        <f t="shared" si="346"/>
        <v>0</v>
      </c>
      <c r="MQ49" s="2300">
        <f t="shared" si="346"/>
        <v>0</v>
      </c>
      <c r="MR49" s="2300">
        <f t="shared" si="346"/>
        <v>0</v>
      </c>
      <c r="MS49" s="2300">
        <f t="shared" si="346"/>
        <v>0</v>
      </c>
      <c r="MT49" s="2300">
        <f t="shared" si="346"/>
        <v>0</v>
      </c>
      <c r="MU49" s="588">
        <f t="shared" si="346"/>
        <v>0</v>
      </c>
      <c r="NO49" s="469"/>
      <c r="NP49" s="2259" t="s">
        <v>6449</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57.826086956521742</v>
      </c>
      <c r="C50" s="3896"/>
      <c r="D50" s="1383" t="s">
        <v>3677</v>
      </c>
      <c r="E50" s="1415">
        <f>SUM(E18:E48)</f>
        <v>46</v>
      </c>
      <c r="F50" s="1417">
        <f>(E18*F18+E19*F19+E20*F20+E21*F21+E22*F22+E23*F23+E24*F24+E25*F25+E26*F26+E27*F27+E28*F28+E29*F29+E30*F30+E31*F31+E32*F32+E33*F33+E34*F34+E35*F35+E36*F36+E37*F37+E38*F38+E39*F39+E40*F40+E41*F41+E42*F42+E43*F43+E44*F44+E45*F45+E46*F46+E47*F47+E48*F48)</f>
        <v>44652</v>
      </c>
      <c r="H50" s="3961"/>
      <c r="I50" s="1421" t="s">
        <v>3769</v>
      </c>
      <c r="J50" s="1422" t="str">
        <f>IF(P67=0,"",IF(SUM(P59:P62)/P67&gt;=0.2,"Pass","Fail"))</f>
        <v>Pass</v>
      </c>
      <c r="K50" s="585"/>
      <c r="L50" s="139" t="s">
        <v>757</v>
      </c>
      <c r="M50" s="124">
        <f>M49*12</f>
        <v>315540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6450</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6649</v>
      </c>
      <c r="O53" s="3901" t="s">
        <v>3816</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962" t="s">
        <v>6940</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6498</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4079</v>
      </c>
      <c r="B56" s="3971"/>
      <c r="C56" s="94" t="s">
        <v>1070</v>
      </c>
      <c r="D56" s="1"/>
      <c r="E56" s="1"/>
      <c r="F56" s="1"/>
      <c r="G56" s="83"/>
      <c r="H56" s="111" t="s">
        <v>3678</v>
      </c>
      <c r="I56" s="36"/>
      <c r="J56" s="83"/>
      <c r="K56" s="1429">
        <f>X49</f>
        <v>0</v>
      </c>
      <c r="L56" s="1430">
        <f>Y49</f>
        <v>0</v>
      </c>
      <c r="M56" s="1430">
        <f>Z49</f>
        <v>0</v>
      </c>
      <c r="N56" s="1430">
        <f>AA49</f>
        <v>0</v>
      </c>
      <c r="O56" s="1431">
        <f>AB49</f>
        <v>0</v>
      </c>
      <c r="P56" s="950">
        <f t="shared" ref="P56:P67" si="347">SUM(K56:O56)</f>
        <v>0</v>
      </c>
      <c r="Q56" s="3876" t="s">
        <v>3187</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3679</v>
      </c>
      <c r="I57" s="36"/>
      <c r="J57" s="83"/>
      <c r="K57" s="1432">
        <f>AC49</f>
        <v>0</v>
      </c>
      <c r="L57" s="1433">
        <f>AD49</f>
        <v>1</v>
      </c>
      <c r="M57" s="1433">
        <f>AE49</f>
        <v>4</v>
      </c>
      <c r="N57" s="1433">
        <f>AF49</f>
        <v>0</v>
      </c>
      <c r="O57" s="1434">
        <f>AG49</f>
        <v>0</v>
      </c>
      <c r="P57" s="946">
        <f t="shared" si="347"/>
        <v>5</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7</v>
      </c>
      <c r="M58" s="1433">
        <f>AJ49</f>
        <v>19</v>
      </c>
      <c r="N58" s="1433">
        <f>AK49</f>
        <v>0</v>
      </c>
      <c r="O58" s="1434">
        <f>AL49</f>
        <v>0</v>
      </c>
      <c r="P58" s="946">
        <f t="shared" si="347"/>
        <v>26</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4</v>
      </c>
      <c r="M59" s="1454">
        <f>AO49</f>
        <v>11</v>
      </c>
      <c r="N59" s="1454">
        <f>AP49</f>
        <v>0</v>
      </c>
      <c r="O59" s="1455">
        <f>AQ49</f>
        <v>0</v>
      </c>
      <c r="P59" s="606">
        <f t="shared" si="347"/>
        <v>15</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3680</v>
      </c>
      <c r="I60" s="52"/>
      <c r="J60" s="1169"/>
      <c r="K60" s="1432">
        <f>AR49</f>
        <v>0</v>
      </c>
      <c r="L60" s="1433">
        <f>AS49</f>
        <v>0</v>
      </c>
      <c r="M60" s="1433">
        <f>AT49</f>
        <v>0</v>
      </c>
      <c r="N60" s="1433">
        <f>AU49</f>
        <v>0</v>
      </c>
      <c r="O60" s="1434">
        <f>AV49</f>
        <v>0</v>
      </c>
      <c r="P60" s="946">
        <f t="shared" si="347"/>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3681</v>
      </c>
      <c r="I61" s="36"/>
      <c r="J61" s="83"/>
      <c r="K61" s="1432">
        <f>AW49</f>
        <v>0</v>
      </c>
      <c r="L61" s="1433">
        <f>AX49</f>
        <v>0</v>
      </c>
      <c r="M61" s="1433">
        <f>AY49</f>
        <v>0</v>
      </c>
      <c r="N61" s="1433">
        <f>AZ49</f>
        <v>0</v>
      </c>
      <c r="O61" s="1434">
        <f>BA49</f>
        <v>0</v>
      </c>
      <c r="P61" s="946">
        <f t="shared" si="347"/>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3682</v>
      </c>
      <c r="I62" s="36"/>
      <c r="J62" s="83"/>
      <c r="K62" s="1435">
        <f>BB49</f>
        <v>0</v>
      </c>
      <c r="L62" s="1436">
        <f>BC49</f>
        <v>0</v>
      </c>
      <c r="M62" s="1436">
        <f>BD49</f>
        <v>0</v>
      </c>
      <c r="N62" s="1436">
        <f>BE49</f>
        <v>0</v>
      </c>
      <c r="O62" s="1437">
        <f>BF49</f>
        <v>0</v>
      </c>
      <c r="P62" s="606">
        <f t="shared" si="347"/>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3764</v>
      </c>
      <c r="D63" s="1"/>
      <c r="E63" s="1"/>
      <c r="F63" s="1"/>
      <c r="G63" s="83"/>
      <c r="H63" s="90"/>
      <c r="I63" s="55"/>
      <c r="J63" s="83"/>
      <c r="K63" s="1397">
        <f>SUM(K56:K62)</f>
        <v>0</v>
      </c>
      <c r="L63" s="1397">
        <f>SUM(L56:L62)</f>
        <v>12</v>
      </c>
      <c r="M63" s="1397">
        <f>SUM(M56:M62)</f>
        <v>34</v>
      </c>
      <c r="N63" s="1397">
        <f>SUM(N56:N62)</f>
        <v>0</v>
      </c>
      <c r="O63" s="1397">
        <f>SUM(O56:O62)</f>
        <v>0</v>
      </c>
      <c r="P63" s="1397">
        <f t="shared" si="347"/>
        <v>46</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0</v>
      </c>
      <c r="M64" s="947">
        <f>BI49</f>
        <v>0</v>
      </c>
      <c r="N64" s="947">
        <f>BJ49</f>
        <v>0</v>
      </c>
      <c r="O64" s="947">
        <f>BK49</f>
        <v>0</v>
      </c>
      <c r="P64" s="947">
        <f t="shared" si="347"/>
        <v>0</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12</v>
      </c>
      <c r="M65" s="1404">
        <f>SUM(M63:M64)</f>
        <v>34</v>
      </c>
      <c r="N65" s="1404">
        <f>SUM(N63:N64)</f>
        <v>0</v>
      </c>
      <c r="O65" s="1404">
        <f>SUM(O63:O64)</f>
        <v>0</v>
      </c>
      <c r="P65" s="1404">
        <f t="shared" si="347"/>
        <v>46</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47"/>
        <v>0</v>
      </c>
      <c r="Q66" s="509" t="s">
        <v>3188</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12</v>
      </c>
      <c r="M67" s="1396">
        <f>SUM(M65:M66)</f>
        <v>34</v>
      </c>
      <c r="N67" s="1396">
        <f>SUM(N65:N66)</f>
        <v>0</v>
      </c>
      <c r="O67" s="1396">
        <f>SUM(O65:O66)</f>
        <v>0</v>
      </c>
      <c r="P67" s="1396">
        <f t="shared" si="347"/>
        <v>46</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3773</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3678</v>
      </c>
      <c r="I70" s="1790"/>
      <c r="J70" s="1791"/>
      <c r="K70" s="1827" t="str">
        <f t="shared" ref="K70:P70" si="348">IF(OR(K56=0,K67=0),"",K56/K67)</f>
        <v/>
      </c>
      <c r="L70" s="1828" t="str">
        <f t="shared" si="348"/>
        <v/>
      </c>
      <c r="M70" s="1828" t="str">
        <f t="shared" si="348"/>
        <v/>
      </c>
      <c r="N70" s="1828" t="str">
        <f t="shared" si="348"/>
        <v/>
      </c>
      <c r="O70" s="1828" t="str">
        <f t="shared" si="348"/>
        <v/>
      </c>
      <c r="P70" s="1829" t="str">
        <f t="shared" si="348"/>
        <v/>
      </c>
      <c r="Q70" s="40" t="s">
        <v>4073</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1"/>
      <c r="B71" s="3971"/>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1"/>
      <c r="B72" s="3971"/>
      <c r="C72" s="1789"/>
      <c r="D72" s="8"/>
      <c r="E72" s="8"/>
      <c r="F72" s="8"/>
      <c r="G72" s="1914"/>
      <c r="H72" s="1837" t="s">
        <v>6492</v>
      </c>
      <c r="I72" s="1792"/>
      <c r="J72" s="1"/>
      <c r="K72" s="1923" t="str">
        <f t="shared" ref="K72:P72" si="349">IF(OR(K71="",K56=0),"", K56-K71)</f>
        <v/>
      </c>
      <c r="L72" s="1924" t="str">
        <f t="shared" si="349"/>
        <v/>
      </c>
      <c r="M72" s="1924" t="str">
        <f t="shared" si="349"/>
        <v/>
      </c>
      <c r="N72" s="1924" t="str">
        <f t="shared" si="349"/>
        <v/>
      </c>
      <c r="O72" s="1924" t="str">
        <f t="shared" si="349"/>
        <v/>
      </c>
      <c r="P72" s="1925" t="str">
        <f t="shared" si="349"/>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4072</v>
      </c>
      <c r="E73" s="3862"/>
      <c r="F73" s="3862"/>
      <c r="G73" s="8"/>
      <c r="H73" s="1836" t="s">
        <v>3679</v>
      </c>
      <c r="I73" s="1790"/>
      <c r="J73" s="1"/>
      <c r="K73" s="1830" t="str">
        <f t="shared" ref="K73:P73" si="350">IF(OR(K57=0,K67=0),"",K57/K67)</f>
        <v/>
      </c>
      <c r="L73" s="1831">
        <f t="shared" si="350"/>
        <v>8.3333333333333329E-2</v>
      </c>
      <c r="M73" s="1831">
        <f t="shared" si="350"/>
        <v>0.11764705882352941</v>
      </c>
      <c r="N73" s="1831" t="str">
        <f t="shared" si="350"/>
        <v/>
      </c>
      <c r="O73" s="1831" t="str">
        <f t="shared" si="350"/>
        <v/>
      </c>
      <c r="P73" s="1832">
        <f t="shared" si="350"/>
        <v>0.10869565217391304</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2"/>
      <c r="E74" s="3862"/>
      <c r="F74" s="3862"/>
      <c r="G74" s="8"/>
      <c r="H74" s="1836" t="s">
        <v>6491</v>
      </c>
      <c r="I74" s="1790"/>
      <c r="J74" s="1"/>
      <c r="K74" s="1921" t="str">
        <f>IF(OR(K57=0,P73="",K67=0),"",P73*K67)</f>
        <v/>
      </c>
      <c r="L74" s="1921">
        <f>IF(OR(L57=0,P73="",L67=0),"",P73*L67)</f>
        <v>1.3043478260869565</v>
      </c>
      <c r="M74" s="1921">
        <f>IF(OR(M57=0,P73="",M67=0),"",P73*M67)</f>
        <v>3.6956521739130435</v>
      </c>
      <c r="N74" s="1921" t="str">
        <f>IF(OR(N57=0,P73="",N67=0),"",P73*N67)</f>
        <v/>
      </c>
      <c r="O74" s="1921" t="str">
        <f>IF(OR(O57=0,P73="",O67=0),"",P73*O67)</f>
        <v/>
      </c>
      <c r="P74" s="1922">
        <f>IF(OR(P73="",P67=0),"",P73*P67)</f>
        <v>5</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2"/>
      <c r="E75" s="3862"/>
      <c r="F75" s="3862"/>
      <c r="G75" s="1914"/>
      <c r="H75" s="1837" t="s">
        <v>6492</v>
      </c>
      <c r="I75" s="1792"/>
      <c r="J75" s="1"/>
      <c r="K75" s="1923" t="str">
        <f t="shared" ref="K75:P75" si="351">IF(OR(K74="",K57=0),"", K57-K74)</f>
        <v/>
      </c>
      <c r="L75" s="1923">
        <f t="shared" si="351"/>
        <v>-0.30434782608695654</v>
      </c>
      <c r="M75" s="1923">
        <f t="shared" si="351"/>
        <v>0.30434782608695654</v>
      </c>
      <c r="N75" s="1923" t="str">
        <f t="shared" si="351"/>
        <v/>
      </c>
      <c r="O75" s="1923" t="str">
        <f t="shared" si="351"/>
        <v/>
      </c>
      <c r="P75" s="1923">
        <f t="shared" si="351"/>
        <v>0</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4071</v>
      </c>
      <c r="D76" s="3862"/>
      <c r="E76" s="3862"/>
      <c r="F76" s="3862"/>
      <c r="G76" s="8"/>
      <c r="H76" s="1836" t="s">
        <v>1082</v>
      </c>
      <c r="I76" s="1790"/>
      <c r="J76" s="1"/>
      <c r="K76" s="1830" t="str">
        <f t="shared" ref="K76:P76" si="352">IF(OR(K58=0,K67=0),"",K58/K67)</f>
        <v/>
      </c>
      <c r="L76" s="1831">
        <f t="shared" si="352"/>
        <v>0.58333333333333337</v>
      </c>
      <c r="M76" s="1831">
        <f t="shared" si="352"/>
        <v>0.55882352941176472</v>
      </c>
      <c r="N76" s="1831" t="str">
        <f t="shared" si="352"/>
        <v/>
      </c>
      <c r="O76" s="1831" t="str">
        <f t="shared" si="352"/>
        <v/>
      </c>
      <c r="P76" s="1832">
        <f t="shared" si="352"/>
        <v>0.56521739130434778</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6491</v>
      </c>
      <c r="I77" s="1790"/>
      <c r="J77" s="1"/>
      <c r="K77" s="1921" t="str">
        <f>IF(OR(K58=0,P76="",K67=0),"",P76*K67)</f>
        <v/>
      </c>
      <c r="L77" s="1921">
        <f>IF(OR(L58=0,P76="",L67=0),"",P76*L67)</f>
        <v>6.7826086956521738</v>
      </c>
      <c r="M77" s="1921">
        <f>IF(OR(M58=0,P76="",M67=0),"",P76*M67)</f>
        <v>19.217391304347824</v>
      </c>
      <c r="N77" s="1921" t="str">
        <f>IF(OR(N58=0,P76="",N67=0),"",P76*N67)</f>
        <v/>
      </c>
      <c r="O77" s="1921" t="str">
        <f>IF(OR(O58=0,P76="",O67=0),"",P76*O67)</f>
        <v/>
      </c>
      <c r="P77" s="1922">
        <f>IF(OR(P76="",P67=0),"",P76*P67)</f>
        <v>25.999999999999996</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6492</v>
      </c>
      <c r="I78" s="1792"/>
      <c r="J78" s="1"/>
      <c r="K78" s="1923" t="str">
        <f t="shared" ref="K78:P78" si="353">IF(OR(K77="",K58=0),"", K58-K77)</f>
        <v/>
      </c>
      <c r="L78" s="1923">
        <f t="shared" si="353"/>
        <v>0.21739130434782616</v>
      </c>
      <c r="M78" s="1923">
        <f t="shared" si="353"/>
        <v>-0.21739130434782439</v>
      </c>
      <c r="N78" s="1923" t="str">
        <f t="shared" si="353"/>
        <v/>
      </c>
      <c r="O78" s="1923" t="str">
        <f t="shared" si="353"/>
        <v/>
      </c>
      <c r="P78" s="1923">
        <f t="shared" si="353"/>
        <v>3.5527136788005009E-15</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4071</v>
      </c>
      <c r="D79" s="1786"/>
      <c r="E79" s="1786"/>
      <c r="F79" s="8"/>
      <c r="G79" s="8"/>
      <c r="H79" s="1836" t="s">
        <v>112</v>
      </c>
      <c r="I79" s="1790"/>
      <c r="J79" s="1"/>
      <c r="K79" s="1830" t="str">
        <f t="shared" ref="K79:P79" si="354">IF(OR(K59=0,K67=0),"",K59/K67)</f>
        <v/>
      </c>
      <c r="L79" s="1831">
        <f t="shared" si="354"/>
        <v>0.33333333333333331</v>
      </c>
      <c r="M79" s="1831">
        <f t="shared" si="354"/>
        <v>0.3235294117647059</v>
      </c>
      <c r="N79" s="1831" t="str">
        <f t="shared" si="354"/>
        <v/>
      </c>
      <c r="O79" s="1831" t="str">
        <f t="shared" si="354"/>
        <v/>
      </c>
      <c r="P79" s="1832">
        <f t="shared" si="354"/>
        <v>0.32608695652173914</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3.9130434782608696</v>
      </c>
      <c r="M80" s="1921">
        <f>IF(OR(M59=0,P79="",M67=0),"",P79*M67)</f>
        <v>11.086956521739131</v>
      </c>
      <c r="N80" s="1921" t="str">
        <f>IF(OR(N59=0,P79="",N67=0),"",P79*N67)</f>
        <v/>
      </c>
      <c r="O80" s="1921" t="str">
        <f>IF(OR(O59=0,P79="",O67=0),"",P79*O67)</f>
        <v/>
      </c>
      <c r="P80" s="1922">
        <f>IF(OR(P79="",P67=0),"",P79*P67)</f>
        <v>15</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5">IF(OR(K80="",K59=0),"", K59-K80)</f>
        <v/>
      </c>
      <c r="L81" s="1923">
        <f t="shared" si="355"/>
        <v>8.6956521739130377E-2</v>
      </c>
      <c r="M81" s="1923">
        <f t="shared" si="355"/>
        <v>-8.6956521739130821E-2</v>
      </c>
      <c r="N81" s="1923" t="str">
        <f t="shared" si="355"/>
        <v/>
      </c>
      <c r="O81" s="1923" t="str">
        <f t="shared" si="355"/>
        <v/>
      </c>
      <c r="P81" s="1923">
        <f t="shared" si="355"/>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4071</v>
      </c>
      <c r="D82" s="1786"/>
      <c r="E82" s="1786"/>
      <c r="F82" s="8"/>
      <c r="G82" s="8"/>
      <c r="H82" s="1836" t="s">
        <v>3680</v>
      </c>
      <c r="I82" s="1790"/>
      <c r="J82" s="1"/>
      <c r="K82" s="1830" t="str">
        <f t="shared" ref="K82:P82" si="356">IF(OR(K60=0,K67=0),"",K60/K67)</f>
        <v/>
      </c>
      <c r="L82" s="1831" t="str">
        <f t="shared" si="356"/>
        <v/>
      </c>
      <c r="M82" s="1831" t="str">
        <f t="shared" si="356"/>
        <v/>
      </c>
      <c r="N82" s="1831" t="str">
        <f t="shared" si="356"/>
        <v/>
      </c>
      <c r="O82" s="1831" t="str">
        <f t="shared" si="356"/>
        <v/>
      </c>
      <c r="P82" s="1832" t="str">
        <f t="shared" si="356"/>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57">IF(OR(K83="",K60=0),"", K60-K83)</f>
        <v/>
      </c>
      <c r="L84" s="1923" t="str">
        <f t="shared" si="357"/>
        <v/>
      </c>
      <c r="M84" s="1923" t="str">
        <f t="shared" si="357"/>
        <v/>
      </c>
      <c r="N84" s="1923" t="str">
        <f t="shared" si="357"/>
        <v/>
      </c>
      <c r="O84" s="1923" t="str">
        <f t="shared" si="357"/>
        <v/>
      </c>
      <c r="P84" s="1923" t="str">
        <f t="shared" si="357"/>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4071</v>
      </c>
      <c r="D85" s="8"/>
      <c r="E85" s="8"/>
      <c r="F85" s="8"/>
      <c r="G85" s="8"/>
      <c r="H85" s="1836" t="s">
        <v>3681</v>
      </c>
      <c r="I85" s="1790"/>
      <c r="J85" s="1"/>
      <c r="K85" s="1830" t="str">
        <f t="shared" ref="K85:P85" si="358">IF(OR(K61=0,K67=0),"",K61/K67)</f>
        <v/>
      </c>
      <c r="L85" s="1831" t="str">
        <f t="shared" si="358"/>
        <v/>
      </c>
      <c r="M85" s="1831" t="str">
        <f t="shared" si="358"/>
        <v/>
      </c>
      <c r="N85" s="1831" t="str">
        <f t="shared" si="358"/>
        <v/>
      </c>
      <c r="O85" s="1831" t="str">
        <f t="shared" si="358"/>
        <v/>
      </c>
      <c r="P85" s="1832" t="str">
        <f t="shared" si="358"/>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59">IF(OR(K86="",K61=0),"", K61-K86)</f>
        <v/>
      </c>
      <c r="L87" s="1923" t="str">
        <f t="shared" si="359"/>
        <v/>
      </c>
      <c r="M87" s="1923" t="str">
        <f t="shared" si="359"/>
        <v/>
      </c>
      <c r="N87" s="1923" t="str">
        <f t="shared" si="359"/>
        <v/>
      </c>
      <c r="O87" s="1923" t="str">
        <f t="shared" si="359"/>
        <v/>
      </c>
      <c r="P87" s="1923" t="str">
        <f t="shared" si="359"/>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4071</v>
      </c>
      <c r="D88" s="8"/>
      <c r="E88" s="8"/>
      <c r="F88" s="8"/>
      <c r="G88" s="8"/>
      <c r="H88" s="1838" t="s">
        <v>3682</v>
      </c>
      <c r="I88" s="1793"/>
      <c r="J88" s="1"/>
      <c r="K88" s="1830" t="str">
        <f t="shared" ref="K88:P88" si="360">IF(OR(K62=0,K67=0),"",K62/K67)</f>
        <v/>
      </c>
      <c r="L88" s="1831" t="str">
        <f t="shared" si="360"/>
        <v/>
      </c>
      <c r="M88" s="1831" t="str">
        <f t="shared" si="360"/>
        <v/>
      </c>
      <c r="N88" s="1831" t="str">
        <f t="shared" si="360"/>
        <v/>
      </c>
      <c r="O88" s="1831" t="str">
        <f t="shared" si="360"/>
        <v/>
      </c>
      <c r="P88" s="1832" t="str">
        <f t="shared" si="360"/>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1">IF(OR(K89="",K62=0),"", K62-K89)</f>
        <v/>
      </c>
      <c r="L90" s="1926" t="str">
        <f t="shared" si="361"/>
        <v/>
      </c>
      <c r="M90" s="1926" t="str">
        <f t="shared" si="361"/>
        <v/>
      </c>
      <c r="N90" s="1926" t="str">
        <f t="shared" si="361"/>
        <v/>
      </c>
      <c r="O90" s="1926" t="str">
        <f t="shared" si="361"/>
        <v/>
      </c>
      <c r="P90" s="1926" t="str">
        <f t="shared" si="361"/>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3678</v>
      </c>
      <c r="I93" s="36"/>
      <c r="J93" s="83"/>
      <c r="K93" s="1438">
        <f>CP49</f>
        <v>0</v>
      </c>
      <c r="L93" s="1439">
        <f>CQ49</f>
        <v>0</v>
      </c>
      <c r="M93" s="1439">
        <f>CR49</f>
        <v>0</v>
      </c>
      <c r="N93" s="1439">
        <f>CS49</f>
        <v>0</v>
      </c>
      <c r="O93" s="1440">
        <f>CT49</f>
        <v>0</v>
      </c>
      <c r="P93" s="948">
        <f t="shared" ref="P93:P100" si="362">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3679</v>
      </c>
      <c r="I94" s="36"/>
      <c r="J94" s="83"/>
      <c r="K94" s="1441">
        <f>CK49</f>
        <v>0</v>
      </c>
      <c r="L94" s="1442">
        <f>CL49</f>
        <v>0</v>
      </c>
      <c r="M94" s="1442">
        <f>CM49</f>
        <v>0</v>
      </c>
      <c r="N94" s="1442">
        <f>CN49</f>
        <v>0</v>
      </c>
      <c r="O94" s="1443">
        <f>CO49</f>
        <v>0</v>
      </c>
      <c r="P94" s="1395">
        <f t="shared" si="362"/>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2"/>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2"/>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3680</v>
      </c>
      <c r="I97" s="52"/>
      <c r="J97" s="1169"/>
      <c r="K97" s="1441">
        <f>BV49</f>
        <v>0</v>
      </c>
      <c r="L97" s="1442">
        <f>BW49</f>
        <v>0</v>
      </c>
      <c r="M97" s="1442">
        <f>BX49</f>
        <v>0</v>
      </c>
      <c r="N97" s="1442">
        <f>BY49</f>
        <v>0</v>
      </c>
      <c r="O97" s="1443">
        <f>BZ49</f>
        <v>0</v>
      </c>
      <c r="P97" s="1395">
        <f t="shared" si="362"/>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3681</v>
      </c>
      <c r="I98" s="36"/>
      <c r="J98" s="83"/>
      <c r="K98" s="1441">
        <f>BQ49</f>
        <v>0</v>
      </c>
      <c r="L98" s="1442">
        <f>BR49</f>
        <v>0</v>
      </c>
      <c r="M98" s="1442">
        <f>BS49</f>
        <v>0</v>
      </c>
      <c r="N98" s="1442">
        <f>BT49</f>
        <v>0</v>
      </c>
      <c r="O98" s="1443">
        <f>BU49</f>
        <v>0</v>
      </c>
      <c r="P98" s="1395">
        <f t="shared" si="362"/>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3682</v>
      </c>
      <c r="I99" s="36"/>
      <c r="J99" s="83"/>
      <c r="K99" s="1444">
        <f>BL49</f>
        <v>0</v>
      </c>
      <c r="L99" s="1445">
        <f>BM49</f>
        <v>0</v>
      </c>
      <c r="M99" s="1445">
        <f>BN49</f>
        <v>0</v>
      </c>
      <c r="N99" s="1445">
        <f>BO49</f>
        <v>0</v>
      </c>
      <c r="O99" s="1446">
        <f>BP49</f>
        <v>0</v>
      </c>
      <c r="P99" s="949">
        <f t="shared" si="362"/>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2"/>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3878</v>
      </c>
      <c r="H102" s="90"/>
      <c r="L102" s="3897" t="str">
        <f>$O$53</f>
        <v>Income Averaging</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3678</v>
      </c>
      <c r="I104" s="36"/>
      <c r="J104" s="83"/>
      <c r="K104" s="1438">
        <f>DY49</f>
        <v>0</v>
      </c>
      <c r="L104" s="1439">
        <f>DZ49</f>
        <v>0</v>
      </c>
      <c r="M104" s="1439">
        <f>EA49</f>
        <v>0</v>
      </c>
      <c r="N104" s="1439">
        <f>EB49</f>
        <v>0</v>
      </c>
      <c r="O104" s="1440">
        <f>EC49</f>
        <v>0</v>
      </c>
      <c r="P104" s="950">
        <f t="shared" ref="P104:P111" si="363">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3679</v>
      </c>
      <c r="I105" s="36"/>
      <c r="J105" s="83"/>
      <c r="K105" s="1441">
        <f>DT49</f>
        <v>0</v>
      </c>
      <c r="L105" s="1442">
        <f>DU49</f>
        <v>0</v>
      </c>
      <c r="M105" s="1442">
        <f>DV49</f>
        <v>0</v>
      </c>
      <c r="N105" s="1442">
        <f>DW49</f>
        <v>0</v>
      </c>
      <c r="O105" s="1443">
        <f>DX49</f>
        <v>0</v>
      </c>
      <c r="P105" s="946">
        <f t="shared" si="363"/>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3"/>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3"/>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3680</v>
      </c>
      <c r="I108" s="52"/>
      <c r="J108" s="1169"/>
      <c r="K108" s="1441">
        <f>DE49</f>
        <v>0</v>
      </c>
      <c r="L108" s="1442">
        <f>DF49</f>
        <v>0</v>
      </c>
      <c r="M108" s="1442">
        <f>DG49</f>
        <v>0</v>
      </c>
      <c r="N108" s="1442">
        <f>DH49</f>
        <v>0</v>
      </c>
      <c r="O108" s="1443">
        <f>DI49</f>
        <v>0</v>
      </c>
      <c r="P108" s="946">
        <f t="shared" si="363"/>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3681</v>
      </c>
      <c r="I109" s="36"/>
      <c r="J109" s="83"/>
      <c r="K109" s="1441">
        <f>CZ49</f>
        <v>0</v>
      </c>
      <c r="L109" s="1442">
        <f>DA49</f>
        <v>0</v>
      </c>
      <c r="M109" s="1442">
        <f>DB49</f>
        <v>0</v>
      </c>
      <c r="N109" s="1442">
        <f>DC49</f>
        <v>0</v>
      </c>
      <c r="O109" s="1443">
        <f>DD49</f>
        <v>0</v>
      </c>
      <c r="P109" s="946">
        <f t="shared" si="363"/>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3682</v>
      </c>
      <c r="I110" s="36"/>
      <c r="J110" s="83"/>
      <c r="K110" s="1444">
        <f>CU49</f>
        <v>0</v>
      </c>
      <c r="L110" s="1445">
        <f>CV49</f>
        <v>0</v>
      </c>
      <c r="M110" s="1445">
        <f>CW49</f>
        <v>0</v>
      </c>
      <c r="N110" s="1445">
        <f>CX49</f>
        <v>0</v>
      </c>
      <c r="O110" s="1446">
        <f>CY49</f>
        <v>0</v>
      </c>
      <c r="P110" s="947">
        <f t="shared" si="363"/>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3"/>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12</v>
      </c>
      <c r="M113" s="1430">
        <f>GI49</f>
        <v>34</v>
      </c>
      <c r="N113" s="1430">
        <f>GJ49</f>
        <v>0</v>
      </c>
      <c r="O113" s="1431">
        <f>GK49</f>
        <v>0</v>
      </c>
      <c r="P113" s="950">
        <f t="shared" ref="P113:P123" si="364">SUM(K113:O113)</f>
        <v>46</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0</v>
      </c>
      <c r="M114" s="1436">
        <f>GN49</f>
        <v>0</v>
      </c>
      <c r="N114" s="1436">
        <f>GO49</f>
        <v>0</v>
      </c>
      <c r="O114" s="1437">
        <f>GP49</f>
        <v>0</v>
      </c>
      <c r="P114" s="947">
        <f t="shared" si="364"/>
        <v>0</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12</v>
      </c>
      <c r="M115" s="1398">
        <f>SUM(M113:M114)+GS49</f>
        <v>34</v>
      </c>
      <c r="N115" s="1398">
        <f>SUM(N113:N114)+GT49</f>
        <v>0</v>
      </c>
      <c r="O115" s="1398">
        <f>SUM(O113:O114)+GU49</f>
        <v>0</v>
      </c>
      <c r="P115" s="1398">
        <f t="shared" si="364"/>
        <v>46</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64"/>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64"/>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4"/>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64"/>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64"/>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4"/>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4"/>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64"/>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6496</v>
      </c>
      <c r="D127" s="3880"/>
      <c r="E127" s="1165" t="s">
        <v>36</v>
      </c>
      <c r="F127" s="973"/>
      <c r="G127" s="1166"/>
      <c r="H127" s="1839"/>
      <c r="I127" s="1167"/>
      <c r="J127" s="1168"/>
      <c r="K127" s="1450">
        <f t="shared" ref="K127:P127" si="365">SUM(K128:K135)</f>
        <v>0</v>
      </c>
      <c r="L127" s="1451">
        <f t="shared" si="365"/>
        <v>12</v>
      </c>
      <c r="M127" s="1451">
        <f t="shared" si="365"/>
        <v>34</v>
      </c>
      <c r="N127" s="1451">
        <f t="shared" si="365"/>
        <v>0</v>
      </c>
      <c r="O127" s="1452">
        <f t="shared" si="365"/>
        <v>0</v>
      </c>
      <c r="P127" s="1401">
        <f t="shared" si="365"/>
        <v>46</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6297</v>
      </c>
      <c r="I128" s="878"/>
      <c r="J128" s="1169"/>
      <c r="K128" s="1432">
        <f>JS49</f>
        <v>0</v>
      </c>
      <c r="L128" s="1433">
        <f>JT49</f>
        <v>0</v>
      </c>
      <c r="M128" s="1433">
        <f>JU49</f>
        <v>0</v>
      </c>
      <c r="N128" s="1433">
        <f>JV49</f>
        <v>0</v>
      </c>
      <c r="O128" s="1434">
        <f>JW49</f>
        <v>0</v>
      </c>
      <c r="P128" s="946">
        <f t="shared" ref="P128:P143" si="366">SUM(K128:O128)</f>
        <v>0</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66"/>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6483</v>
      </c>
      <c r="I130" s="878"/>
      <c r="J130" s="1169"/>
      <c r="K130" s="1432">
        <f>JX49</f>
        <v>0</v>
      </c>
      <c r="L130" s="1433">
        <f>JY49</f>
        <v>12</v>
      </c>
      <c r="M130" s="1433">
        <f>JZ49</f>
        <v>34</v>
      </c>
      <c r="N130" s="1433">
        <f>KA49</f>
        <v>0</v>
      </c>
      <c r="O130" s="1434">
        <f>KB49</f>
        <v>0</v>
      </c>
      <c r="P130" s="946">
        <f t="shared" ref="P130:P135" si="367">SUM(K130:O130)</f>
        <v>46</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67"/>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6299</v>
      </c>
      <c r="I132" s="40"/>
      <c r="J132" s="83"/>
      <c r="K132" s="1456">
        <f>KM49</f>
        <v>0</v>
      </c>
      <c r="L132" s="1457">
        <f>KN49</f>
        <v>0</v>
      </c>
      <c r="M132" s="1457">
        <f>KO49</f>
        <v>0</v>
      </c>
      <c r="N132" s="1457">
        <f>KP49</f>
        <v>0</v>
      </c>
      <c r="O132" s="1458">
        <f>KQ49</f>
        <v>0</v>
      </c>
      <c r="P132" s="609">
        <f t="shared" si="367"/>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67"/>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6490</v>
      </c>
      <c r="I134" s="40"/>
      <c r="J134" s="83"/>
      <c r="K134" s="1456">
        <f>KR49</f>
        <v>0</v>
      </c>
      <c r="L134" s="1457">
        <f>KS49</f>
        <v>0</v>
      </c>
      <c r="M134" s="1457">
        <f>KT49</f>
        <v>0</v>
      </c>
      <c r="N134" s="1457">
        <f>KU49</f>
        <v>0</v>
      </c>
      <c r="O134" s="1458">
        <f>KV49</f>
        <v>0</v>
      </c>
      <c r="P134" s="609">
        <f t="shared" si="367"/>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67"/>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6485</v>
      </c>
      <c r="F136" s="1"/>
      <c r="G136" s="83"/>
      <c r="H136" s="1785"/>
      <c r="I136" s="40"/>
      <c r="J136" s="83"/>
      <c r="K136" s="1429">
        <f>IE49</f>
        <v>0</v>
      </c>
      <c r="L136" s="1430">
        <f>IF49</f>
        <v>0</v>
      </c>
      <c r="M136" s="1430">
        <f>IG49</f>
        <v>0</v>
      </c>
      <c r="N136" s="1430">
        <f>IH49</f>
        <v>0</v>
      </c>
      <c r="O136" s="1431">
        <f>II49</f>
        <v>0</v>
      </c>
      <c r="P136" s="2226">
        <f t="shared" si="366"/>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66"/>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6486</v>
      </c>
      <c r="F138" s="1"/>
      <c r="G138" s="83"/>
      <c r="H138" s="1785"/>
      <c r="I138" s="40"/>
      <c r="J138" s="83"/>
      <c r="K138" s="1456">
        <f>JI49</f>
        <v>0</v>
      </c>
      <c r="L138" s="1457">
        <f>JJ49</f>
        <v>0</v>
      </c>
      <c r="M138" s="1457">
        <f>JK49</f>
        <v>0</v>
      </c>
      <c r="N138" s="1457">
        <f>JL49</f>
        <v>0</v>
      </c>
      <c r="O138" s="1458">
        <f>JM49</f>
        <v>0</v>
      </c>
      <c r="P138" s="2227">
        <f t="shared" si="366"/>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66"/>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6293</v>
      </c>
      <c r="F140" s="1"/>
      <c r="G140" s="83"/>
      <c r="H140" s="1785"/>
      <c r="I140" s="40"/>
      <c r="J140" s="83"/>
      <c r="K140" s="1456">
        <f>IY49</f>
        <v>0</v>
      </c>
      <c r="L140" s="1457">
        <f>IZ49</f>
        <v>0</v>
      </c>
      <c r="M140" s="1457">
        <f>JA49</f>
        <v>0</v>
      </c>
      <c r="N140" s="1457">
        <f>JB49</f>
        <v>0</v>
      </c>
      <c r="O140" s="1458">
        <f>JC49</f>
        <v>0</v>
      </c>
      <c r="P140" s="2227">
        <f t="shared" si="366"/>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66"/>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66"/>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66"/>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3878</v>
      </c>
      <c r="H145" s="90"/>
      <c r="L145" s="3897" t="str">
        <f>$O$53</f>
        <v>Income Averaging</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6497</v>
      </c>
      <c r="D147" s="3880"/>
      <c r="E147" s="1165" t="s">
        <v>2994</v>
      </c>
      <c r="F147" s="1166"/>
      <c r="G147" s="1167"/>
      <c r="H147" s="1842"/>
      <c r="I147" s="1170"/>
      <c r="J147" s="1168"/>
      <c r="K147" s="1459">
        <f t="shared" ref="K147:O148" si="368">K136+K140+K142</f>
        <v>0</v>
      </c>
      <c r="L147" s="1460">
        <f>L136+L140+L142</f>
        <v>0</v>
      </c>
      <c r="M147" s="1460">
        <f t="shared" si="368"/>
        <v>0</v>
      </c>
      <c r="N147" s="1460">
        <f t="shared" si="368"/>
        <v>0</v>
      </c>
      <c r="O147" s="1461">
        <f t="shared" si="368"/>
        <v>0</v>
      </c>
      <c r="P147" s="2226">
        <f t="shared" ref="P147:P154" si="369">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68"/>
        <v>0</v>
      </c>
      <c r="L148" s="2231">
        <f t="shared" si="368"/>
        <v>0</v>
      </c>
      <c r="M148" s="2231">
        <f t="shared" si="368"/>
        <v>0</v>
      </c>
      <c r="N148" s="2231">
        <f t="shared" si="368"/>
        <v>0</v>
      </c>
      <c r="O148" s="2232">
        <f t="shared" si="368"/>
        <v>0</v>
      </c>
      <c r="P148" s="2233">
        <f t="shared" si="369"/>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0">K138</f>
        <v>0</v>
      </c>
      <c r="L149" s="1466">
        <f t="shared" si="370"/>
        <v>0</v>
      </c>
      <c r="M149" s="1466">
        <f t="shared" si="370"/>
        <v>0</v>
      </c>
      <c r="N149" s="1466">
        <f t="shared" si="370"/>
        <v>0</v>
      </c>
      <c r="O149" s="1467">
        <f t="shared" si="370"/>
        <v>0</v>
      </c>
      <c r="P149" s="2227">
        <f t="shared" si="369"/>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0"/>
        <v>0</v>
      </c>
      <c r="L150" s="2231">
        <f t="shared" si="370"/>
        <v>0</v>
      </c>
      <c r="M150" s="2231">
        <f t="shared" si="370"/>
        <v>0</v>
      </c>
      <c r="N150" s="2231">
        <f t="shared" si="370"/>
        <v>0</v>
      </c>
      <c r="O150" s="2232">
        <f t="shared" si="370"/>
        <v>0</v>
      </c>
      <c r="P150" s="2233">
        <f t="shared" si="369"/>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 t="shared" ref="K151:O154" si="371">K128+K132</f>
        <v>0</v>
      </c>
      <c r="L151" s="1466">
        <f t="shared" si="371"/>
        <v>0</v>
      </c>
      <c r="M151" s="1466">
        <f t="shared" si="371"/>
        <v>0</v>
      </c>
      <c r="N151" s="1466">
        <f t="shared" si="371"/>
        <v>0</v>
      </c>
      <c r="O151" s="1467">
        <f t="shared" si="371"/>
        <v>0</v>
      </c>
      <c r="P151" s="2227">
        <f t="shared" si="369"/>
        <v>0</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 t="shared" si="371"/>
        <v>0</v>
      </c>
      <c r="L152" s="2231">
        <f t="shared" si="371"/>
        <v>0</v>
      </c>
      <c r="M152" s="2231">
        <f t="shared" si="371"/>
        <v>0</v>
      </c>
      <c r="N152" s="2231">
        <f t="shared" si="371"/>
        <v>0</v>
      </c>
      <c r="O152" s="2232">
        <f t="shared" si="371"/>
        <v>0</v>
      </c>
      <c r="P152" s="2233">
        <f t="shared" si="369"/>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 t="shared" si="371"/>
        <v>0</v>
      </c>
      <c r="L153" s="1466">
        <f t="shared" si="371"/>
        <v>12</v>
      </c>
      <c r="M153" s="1466">
        <f t="shared" si="371"/>
        <v>34</v>
      </c>
      <c r="N153" s="1466">
        <f t="shared" si="371"/>
        <v>0</v>
      </c>
      <c r="O153" s="1467">
        <f t="shared" si="371"/>
        <v>0</v>
      </c>
      <c r="P153" s="2227">
        <f t="shared" si="369"/>
        <v>46</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 t="shared" si="371"/>
        <v>0</v>
      </c>
      <c r="L154" s="2235">
        <f t="shared" si="371"/>
        <v>0</v>
      </c>
      <c r="M154" s="2235">
        <f t="shared" si="371"/>
        <v>0</v>
      </c>
      <c r="N154" s="2235">
        <f t="shared" si="371"/>
        <v>0</v>
      </c>
      <c r="O154" s="2236">
        <f t="shared" si="371"/>
        <v>0</v>
      </c>
      <c r="P154" s="2237">
        <f t="shared" si="369"/>
        <v>0</v>
      </c>
      <c r="Q154" s="3869" t="s">
        <v>3894</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3678</v>
      </c>
      <c r="I157" s="55"/>
      <c r="J157" s="83"/>
      <c r="K157" s="1438">
        <f>EI49</f>
        <v>0</v>
      </c>
      <c r="L157" s="1439">
        <f>EJ49</f>
        <v>0</v>
      </c>
      <c r="M157" s="1439">
        <f>EK49</f>
        <v>0</v>
      </c>
      <c r="N157" s="1439">
        <f>EL49</f>
        <v>0</v>
      </c>
      <c r="O157" s="1440">
        <f>EM49</f>
        <v>0</v>
      </c>
      <c r="P157" s="1392">
        <f t="shared" ref="P157:P163" si="372">SUM(K157:O157)</f>
        <v>0</v>
      </c>
      <c r="Q157" s="1626" t="str">
        <f t="shared" ref="Q157:Q163" si="373">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3679</v>
      </c>
      <c r="I158" s="40"/>
      <c r="J158" s="83"/>
      <c r="K158" s="1468">
        <f>EN49</f>
        <v>0</v>
      </c>
      <c r="L158" s="1469">
        <f>EO49</f>
        <v>780</v>
      </c>
      <c r="M158" s="1469">
        <f>EP49</f>
        <v>4152</v>
      </c>
      <c r="N158" s="1469">
        <f>EQ49</f>
        <v>0</v>
      </c>
      <c r="O158" s="1470">
        <f>ER49</f>
        <v>0</v>
      </c>
      <c r="P158" s="1393">
        <f t="shared" si="372"/>
        <v>4932</v>
      </c>
      <c r="Q158" s="1626">
        <f t="shared" si="373"/>
        <v>986.4</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5460</v>
      </c>
      <c r="M159" s="1469">
        <f>EU49</f>
        <v>19722</v>
      </c>
      <c r="N159" s="1469">
        <f>EV49</f>
        <v>0</v>
      </c>
      <c r="O159" s="1470">
        <f>EW49</f>
        <v>0</v>
      </c>
      <c r="P159" s="1393">
        <f t="shared" si="372"/>
        <v>25182</v>
      </c>
      <c r="Q159" s="1626">
        <f t="shared" si="373"/>
        <v>968.53846153846155</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3120</v>
      </c>
      <c r="M160" s="1550">
        <f>EZ49</f>
        <v>11418</v>
      </c>
      <c r="N160" s="1550">
        <f>FA49</f>
        <v>0</v>
      </c>
      <c r="O160" s="1551">
        <f>FB49</f>
        <v>0</v>
      </c>
      <c r="P160" s="1552">
        <f t="shared" si="372"/>
        <v>14538</v>
      </c>
      <c r="Q160" s="1626">
        <f t="shared" si="373"/>
        <v>969.2</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3680</v>
      </c>
      <c r="I161" s="878"/>
      <c r="J161" s="1169"/>
      <c r="K161" s="1468">
        <f>FC49</f>
        <v>0</v>
      </c>
      <c r="L161" s="1469">
        <f>FD49</f>
        <v>0</v>
      </c>
      <c r="M161" s="1469">
        <f>FE49</f>
        <v>0</v>
      </c>
      <c r="N161" s="1469">
        <f>FF49</f>
        <v>0</v>
      </c>
      <c r="O161" s="1470">
        <f>FG49</f>
        <v>0</v>
      </c>
      <c r="P161" s="1393">
        <f t="shared" si="372"/>
        <v>0</v>
      </c>
      <c r="Q161" s="1626" t="str">
        <f t="shared" si="373"/>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3681</v>
      </c>
      <c r="I162" s="40"/>
      <c r="J162" s="83"/>
      <c r="K162" s="1468">
        <f>FH49</f>
        <v>0</v>
      </c>
      <c r="L162" s="1469">
        <f>FI49</f>
        <v>0</v>
      </c>
      <c r="M162" s="1469">
        <f>FJ49</f>
        <v>0</v>
      </c>
      <c r="N162" s="1469">
        <f>FK49</f>
        <v>0</v>
      </c>
      <c r="O162" s="1470">
        <f>FL49</f>
        <v>0</v>
      </c>
      <c r="P162" s="1393">
        <f t="shared" si="372"/>
        <v>0</v>
      </c>
      <c r="Q162" s="1626" t="str">
        <f t="shared" si="373"/>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4">
        <f>FM49</f>
        <v>0</v>
      </c>
      <c r="L163" s="1445">
        <f>FN49</f>
        <v>0</v>
      </c>
      <c r="M163" s="1445">
        <f>FO49</f>
        <v>0</v>
      </c>
      <c r="N163" s="1445">
        <f>FP49</f>
        <v>0</v>
      </c>
      <c r="O163" s="1446">
        <f>FQ49</f>
        <v>0</v>
      </c>
      <c r="P163" s="1394">
        <f t="shared" si="372"/>
        <v>0</v>
      </c>
      <c r="Q163" s="1626" t="str">
        <f t="shared" si="373"/>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3763</v>
      </c>
      <c r="I164" s="875"/>
      <c r="J164" s="1403"/>
      <c r="K164" s="2229">
        <f>SUM(K157:K163)</f>
        <v>0</v>
      </c>
      <c r="L164" s="2229">
        <f>SUM(L157:L163)</f>
        <v>9360</v>
      </c>
      <c r="M164" s="2229">
        <f>SUM(M157:M163)</f>
        <v>35292</v>
      </c>
      <c r="N164" s="2229">
        <f>SUM(N157:N163)</f>
        <v>0</v>
      </c>
      <c r="O164" s="2229">
        <f>SUM(O157:O163)</f>
        <v>0</v>
      </c>
      <c r="P164" s="2229">
        <f>SUM(K164:O164)</f>
        <v>44652</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9360</v>
      </c>
      <c r="M166" s="2228">
        <f>SUM(M164:M165)</f>
        <v>35292</v>
      </c>
      <c r="N166" s="2228">
        <f>SUM(N164:N165)</f>
        <v>0</v>
      </c>
      <c r="O166" s="2228">
        <f>SUM(O164:O165)</f>
        <v>0</v>
      </c>
      <c r="P166" s="2228">
        <f>SUM(K166:O166)</f>
        <v>44652</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9360</v>
      </c>
      <c r="M168" s="1399">
        <f>SUM(M166:M167)</f>
        <v>35292</v>
      </c>
      <c r="N168" s="1399">
        <f>SUM(N166:N167)</f>
        <v>0</v>
      </c>
      <c r="O168" s="1399">
        <f>SUM(O166:O167)</f>
        <v>0</v>
      </c>
      <c r="P168" s="1399">
        <f>SUM(K168:O168)</f>
        <v>44652</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5" t="str">
        <f>IF(OR(K67="",K67=0),"",K168/K67)</f>
        <v/>
      </c>
      <c r="L171" s="1625">
        <f>IF(OR(L67="",L67=0),"",L168/L67)</f>
        <v>780</v>
      </c>
      <c r="M171" s="1625">
        <f>IF(OR(M67="",M67=0),"",M168/M67)</f>
        <v>1038</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966">
        <v>3336</v>
      </c>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47988</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f>'Part VI-Pro Forma'!B10*M50</f>
        <v>6310.8</v>
      </c>
      <c r="I179" s="3904"/>
      <c r="J179" s="3905"/>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74">SUM(J183:J184)</f>
        <v>0</v>
      </c>
      <c r="K185" s="905">
        <f t="shared" si="374"/>
        <v>0</v>
      </c>
      <c r="L185" s="905">
        <f t="shared" si="374"/>
        <v>0</v>
      </c>
      <c r="M185" s="905">
        <f t="shared" si="374"/>
        <v>0</v>
      </c>
      <c r="N185" s="905">
        <f t="shared" si="374"/>
        <v>0</v>
      </c>
      <c r="O185" s="905">
        <f t="shared" si="374"/>
        <v>0</v>
      </c>
      <c r="P185" s="905">
        <f t="shared" si="374"/>
        <v>0</v>
      </c>
      <c r="Q185" s="905">
        <f t="shared" si="374"/>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75">SUM(J187:J188)</f>
        <v>0</v>
      </c>
      <c r="K189" s="905">
        <f t="shared" si="375"/>
        <v>0</v>
      </c>
      <c r="L189" s="905">
        <f t="shared" si="375"/>
        <v>0</v>
      </c>
      <c r="M189" s="905">
        <f t="shared" si="375"/>
        <v>0</v>
      </c>
      <c r="N189" s="905">
        <f t="shared" si="375"/>
        <v>0</v>
      </c>
      <c r="O189" s="905">
        <f t="shared" si="375"/>
        <v>0</v>
      </c>
      <c r="P189" s="905">
        <f t="shared" si="375"/>
        <v>0</v>
      </c>
      <c r="Q189" s="905">
        <f t="shared" si="375"/>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76">SUM(J192:J193)</f>
        <v>0</v>
      </c>
      <c r="K194" s="905">
        <f t="shared" si="376"/>
        <v>0</v>
      </c>
      <c r="L194" s="905">
        <f t="shared" si="376"/>
        <v>0</v>
      </c>
      <c r="M194" s="905">
        <f t="shared" si="376"/>
        <v>0</v>
      </c>
      <c r="N194" s="905">
        <f t="shared" si="376"/>
        <v>0</v>
      </c>
      <c r="O194" s="905">
        <f t="shared" si="376"/>
        <v>0</v>
      </c>
      <c r="P194" s="905">
        <f t="shared" si="376"/>
        <v>0</v>
      </c>
      <c r="Q194" s="905">
        <f t="shared" si="376"/>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77">SUM(J196:J197)</f>
        <v>0</v>
      </c>
      <c r="K198" s="905">
        <f t="shared" si="377"/>
        <v>0</v>
      </c>
      <c r="L198" s="905">
        <f t="shared" si="377"/>
        <v>0</v>
      </c>
      <c r="M198" s="905">
        <f t="shared" si="377"/>
        <v>0</v>
      </c>
      <c r="N198" s="905">
        <f t="shared" si="377"/>
        <v>0</v>
      </c>
      <c r="O198" s="905">
        <f t="shared" si="377"/>
        <v>0</v>
      </c>
      <c r="P198" s="905">
        <f t="shared" si="377"/>
        <v>0</v>
      </c>
      <c r="Q198" s="905">
        <f t="shared" si="377"/>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78">SUM(J201:J202)</f>
        <v>0</v>
      </c>
      <c r="K203" s="905">
        <f t="shared" si="378"/>
        <v>0</v>
      </c>
      <c r="L203" s="905">
        <f t="shared" si="378"/>
        <v>0</v>
      </c>
      <c r="M203" s="905">
        <f t="shared" si="378"/>
        <v>0</v>
      </c>
      <c r="N203" s="905">
        <f t="shared" si="378"/>
        <v>0</v>
      </c>
      <c r="O203" s="905">
        <f t="shared" si="378"/>
        <v>0</v>
      </c>
      <c r="P203" s="905">
        <f t="shared" si="378"/>
        <v>0</v>
      </c>
      <c r="Q203" s="905">
        <f t="shared" si="378"/>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79">SUM(J205:J206)</f>
        <v>0</v>
      </c>
      <c r="K207" s="905">
        <f t="shared" si="379"/>
        <v>0</v>
      </c>
      <c r="L207" s="905">
        <f t="shared" si="379"/>
        <v>0</v>
      </c>
      <c r="M207" s="905">
        <f t="shared" si="379"/>
        <v>0</v>
      </c>
      <c r="N207" s="905">
        <f t="shared" si="379"/>
        <v>0</v>
      </c>
      <c r="O207" s="905">
        <f t="shared" si="379"/>
        <v>0</v>
      </c>
      <c r="P207" s="905">
        <f t="shared" si="379"/>
        <v>0</v>
      </c>
      <c r="Q207" s="905">
        <f t="shared" si="379"/>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22080</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34400</v>
      </c>
      <c r="G221" s="3932"/>
      <c r="H221" s="1"/>
      <c r="I221" s="1" t="s">
        <v>1301</v>
      </c>
      <c r="K221" s="1"/>
      <c r="L221" s="3931"/>
      <c r="M221" s="3932"/>
      <c r="N221" s="1"/>
      <c r="O221" s="418">
        <f>+Q220/(P67*0.93)</f>
        <v>516.12903225806451</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30900</v>
      </c>
      <c r="G222" s="3907"/>
      <c r="H222" s="1"/>
      <c r="I222" s="1" t="s">
        <v>1302</v>
      </c>
      <c r="K222" s="1"/>
      <c r="L222" s="3934">
        <v>600</v>
      </c>
      <c r="M222" s="3935"/>
      <c r="N222" s="1"/>
      <c r="O222" s="418">
        <f>+Q220/(P67*0.93)/12</f>
        <v>43.01075268817204</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600</v>
      </c>
      <c r="M223" s="3939"/>
      <c r="N223" s="1"/>
      <c r="O223" s="36" t="s">
        <v>3225</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4023</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65300</v>
      </c>
      <c r="G227" s="3939"/>
      <c r="H227" s="1"/>
      <c r="I227" s="1" t="s">
        <v>1498</v>
      </c>
      <c r="K227" s="1"/>
      <c r="L227" s="3918">
        <v>500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7000</v>
      </c>
      <c r="M228" s="3921"/>
      <c r="N228" s="3933" t="str">
        <f>IF(Q230="","",IF(Q228&lt;Q230, "WARNING! OE below required minimum.",""))</f>
        <v/>
      </c>
      <c r="O228" s="10" t="s">
        <v>2030</v>
      </c>
      <c r="P228" s="5"/>
      <c r="Q228" s="427">
        <f>F227+F236+F247+L223+L231+L241+L247+Q220</f>
        <v>216749</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500</v>
      </c>
      <c r="M229" s="3921"/>
      <c r="N229" s="3933"/>
      <c r="O229" s="66" t="s">
        <v>2488</v>
      </c>
      <c r="P229" s="418">
        <f>+Q228/P67</f>
        <v>4711.934782608696</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6451</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3000</v>
      </c>
      <c r="G230" s="3932"/>
      <c r="H230" s="1"/>
      <c r="I230" s="3924" t="s">
        <v>46</v>
      </c>
      <c r="J230" s="3925"/>
      <c r="K230" s="3926"/>
      <c r="L230" s="3936"/>
      <c r="M230" s="3937"/>
      <c r="N230" s="3933"/>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149500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6000</v>
      </c>
      <c r="G231" s="3907"/>
      <c r="H231" s="1"/>
      <c r="I231" s="10"/>
      <c r="K231" s="11" t="s">
        <v>184</v>
      </c>
      <c r="L231" s="3940">
        <f>SUM(L227:L230)</f>
        <v>8000</v>
      </c>
      <c r="M231" s="3941"/>
      <c r="N231" s="3933"/>
      <c r="O231" s="3946" t="s">
        <v>6729</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6452</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v>4600</v>
      </c>
      <c r="G234" s="3907"/>
      <c r="H234" s="1"/>
      <c r="I234" s="10" t="s">
        <v>1298</v>
      </c>
      <c r="K234" s="1036" t="s">
        <v>3887</v>
      </c>
      <c r="O234" s="1658" t="s">
        <v>3088</v>
      </c>
      <c r="P234" s="10"/>
      <c r="Q234" s="1176">
        <f>Q243</f>
        <v>11500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7014</v>
      </c>
      <c r="C235" s="3916"/>
      <c r="D235" s="3916"/>
      <c r="E235" s="3917"/>
      <c r="F235" s="3934">
        <v>4600</v>
      </c>
      <c r="G235" s="3935"/>
      <c r="H235" s="1"/>
      <c r="I235" s="1" t="s">
        <v>1291</v>
      </c>
      <c r="K235" s="477">
        <f>L235/12/P67</f>
        <v>21.739130434782609</v>
      </c>
      <c r="L235" s="3918">
        <v>12000</v>
      </c>
      <c r="M235" s="3919"/>
      <c r="N235" s="3950" t="str">
        <f>IF(Q234&lt;Q243, "WARNING! RR proposed is below the DCA required minimum.","")</f>
        <v/>
      </c>
      <c r="O235" s="978" t="s">
        <v>3886</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18200</v>
      </c>
      <c r="G236" s="3939"/>
      <c r="H236" s="1"/>
      <c r="I236" s="1" t="s">
        <v>1292</v>
      </c>
      <c r="K236" s="477">
        <f>L236/12/P67</f>
        <v>0</v>
      </c>
      <c r="L236" s="3920"/>
      <c r="M236" s="3921"/>
      <c r="N236" s="3951"/>
      <c r="O236" s="3952" t="s">
        <v>3232</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5.2536231884057969</v>
      </c>
      <c r="L237" s="3920">
        <v>2900</v>
      </c>
      <c r="M237" s="3921"/>
      <c r="N237" s="3951"/>
      <c r="O237" s="972" t="s">
        <v>2465</v>
      </c>
      <c r="P237" s="853" t="s">
        <v>3285</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6385</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6.5217391304347823</v>
      </c>
      <c r="L238" s="3920">
        <v>3600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v>2000</v>
      </c>
      <c r="G239" s="3956"/>
      <c r="H239" s="1"/>
      <c r="I239" s="94" t="s">
        <v>6689</v>
      </c>
      <c r="K239" s="477">
        <f>L239/12/P67</f>
        <v>0</v>
      </c>
      <c r="L239" s="3920"/>
      <c r="M239" s="3921"/>
      <c r="N239" s="3951"/>
      <c r="O239" s="508" t="s">
        <v>3054</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6000</v>
      </c>
      <c r="G240" s="3943"/>
      <c r="H240" s="1"/>
      <c r="I240" s="3927" t="s">
        <v>6941</v>
      </c>
      <c r="J240" s="3928"/>
      <c r="K240" s="477">
        <f>L240/12/P67</f>
        <v>3.2608695652173911</v>
      </c>
      <c r="L240" s="3936">
        <v>1800</v>
      </c>
      <c r="M240" s="3937"/>
      <c r="N240" s="3951"/>
      <c r="O240" s="508" t="s">
        <v>3053</v>
      </c>
      <c r="P240" s="858" t="str">
        <f>CONCATENATE(SUM(MK49:MO49)," units x $",'DCA Underwriting Assumptions'!$Q$29," =")</f>
        <v>46 units x $250 =</v>
      </c>
      <c r="Q240" s="647">
        <f>SUM(MK49:MO49)*'DCA Underwriting Assumptions'!$Q$29</f>
        <v>11500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16000</v>
      </c>
      <c r="G241" s="3943"/>
      <c r="H241" s="1"/>
      <c r="K241" s="11" t="s">
        <v>184</v>
      </c>
      <c r="L241" s="3940">
        <f>SUM(L235:L240)</f>
        <v>20300</v>
      </c>
      <c r="M241" s="3941"/>
      <c r="N241" s="3951"/>
      <c r="O241" s="648" t="s">
        <v>6503</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4000</v>
      </c>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6453</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1200</v>
      </c>
      <c r="G243" s="3907"/>
      <c r="H243" s="1"/>
      <c r="I243" s="10" t="s">
        <v>1299</v>
      </c>
      <c r="O243" s="975" t="s">
        <v>2468</v>
      </c>
      <c r="P243" s="976">
        <f>SUM(MF49:MJ49)+SUM(MK49:MO49)+SUM(MP49:MT49)+P125</f>
        <v>46</v>
      </c>
      <c r="Q243" s="977">
        <f>SUM(Q239:Q242)</f>
        <v>11500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v>4000</v>
      </c>
      <c r="G244" s="3907"/>
      <c r="H244" s="1"/>
      <c r="I244" s="94" t="s">
        <v>3933</v>
      </c>
      <c r="K244" s="1"/>
      <c r="L244" s="3918">
        <v>21161</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500</v>
      </c>
      <c r="G245" s="3907"/>
      <c r="H245" s="1"/>
      <c r="I245" s="1" t="s">
        <v>140</v>
      </c>
      <c r="K245" s="1"/>
      <c r="L245" s="3920">
        <v>27408</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46</v>
      </c>
      <c r="C246" s="3916"/>
      <c r="D246" s="3916"/>
      <c r="E246" s="3917"/>
      <c r="F246" s="3934"/>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6454</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33700</v>
      </c>
      <c r="G247" s="3949"/>
      <c r="H247" s="1"/>
      <c r="K247" s="11" t="s">
        <v>184</v>
      </c>
      <c r="L247" s="3940">
        <f>SUM(L243:L246)</f>
        <v>48569</v>
      </c>
      <c r="M247" s="3947"/>
      <c r="N247" s="1"/>
      <c r="O247" s="10" t="s">
        <v>2031</v>
      </c>
      <c r="P247" s="1"/>
      <c r="Q247" s="427">
        <f>Q228+Q234</f>
        <v>228249</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3876</v>
      </c>
      <c r="C251" s="11"/>
      <c r="D251" s="1"/>
      <c r="E251" s="1"/>
      <c r="H251" s="12"/>
      <c r="I251" s="1547" t="s">
        <v>3877</v>
      </c>
      <c r="K251" s="3867"/>
      <c r="L251" s="3868"/>
      <c r="M251" s="1619" t="s">
        <v>3904</v>
      </c>
      <c r="N251" s="1548"/>
      <c r="O251" s="10" t="s">
        <v>3879</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600" t="s">
        <v>1647</v>
      </c>
      <c r="K253" s="1547" t="s">
        <v>3907</v>
      </c>
      <c r="L253" s="1600" t="s">
        <v>1647</v>
      </c>
      <c r="M253" s="72" t="s">
        <v>3908</v>
      </c>
      <c r="N253" s="1548"/>
      <c r="O253" s="484" t="s">
        <v>3906</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6455</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530</v>
      </c>
      <c r="N255" s="13" t="s">
        <v>6655</v>
      </c>
      <c r="O255" s="13"/>
      <c r="NP255" s="2260"/>
    </row>
    <row r="256" spans="1:493" ht="409.5" customHeight="1">
      <c r="A256" s="3945" t="s">
        <v>7015</v>
      </c>
      <c r="B256" s="3945"/>
      <c r="C256" s="3945"/>
      <c r="D256" s="3945"/>
      <c r="E256" s="3945"/>
      <c r="F256" s="3945"/>
      <c r="G256" s="3945"/>
      <c r="H256" s="3945"/>
      <c r="I256" s="3945"/>
      <c r="J256" s="3945"/>
      <c r="K256" s="3945"/>
      <c r="L256" s="3945"/>
      <c r="M256" s="3945"/>
      <c r="N256" s="3944"/>
      <c r="O256" s="3944"/>
      <c r="P256" s="3944"/>
      <c r="Q256" s="3944"/>
      <c r="R256" s="3352" t="s">
        <v>3375</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05" priority="31" stopIfTrue="1" operator="greaterThan">
      <formula>0</formula>
    </cfRule>
  </conditionalFormatting>
  <conditionalFormatting sqref="P179">
    <cfRule type="cellIs" dxfId="104" priority="28" operator="greaterThan">
      <formula>0.02</formula>
    </cfRule>
  </conditionalFormatting>
  <conditionalFormatting sqref="Q11:Q48">
    <cfRule type="expression" dxfId="103" priority="26">
      <formula>AND($P$11="New Construction",$Q$11="Yes")</formula>
    </cfRule>
  </conditionalFormatting>
  <conditionalFormatting sqref="K56:P67 K156:P168 K93:P131 K136:P154">
    <cfRule type="cellIs" dxfId="102" priority="22" operator="equal">
      <formula>0</formula>
    </cfRule>
  </conditionalFormatting>
  <conditionalFormatting sqref="U155">
    <cfRule type="cellIs" dxfId="101" priority="14" stopIfTrue="1" operator="greaterThan">
      <formula>0</formula>
    </cfRule>
  </conditionalFormatting>
  <conditionalFormatting sqref="K155:P155">
    <cfRule type="cellIs" dxfId="100" priority="13" operator="equal">
      <formula>0</formula>
    </cfRule>
  </conditionalFormatting>
  <conditionalFormatting sqref="L102:O102">
    <cfRule type="cellIs" dxfId="99" priority="7" operator="equal">
      <formula>"&lt;&lt; Select LIHTC Election &gt;&gt;"</formula>
    </cfRule>
    <cfRule type="containsText" dxfId="98" priority="11" operator="containsText" text="&lt;&lt; Select Election or Income Averaging &gt;&gt;">
      <formula>NOT(ISERROR(SEARCH("&lt;&lt; Select Election or Income Averaging &gt;&gt;",L102)))</formula>
    </cfRule>
  </conditionalFormatting>
  <conditionalFormatting sqref="L145:O145">
    <cfRule type="cellIs" dxfId="97" priority="6" operator="equal">
      <formula>"&lt;&lt; Select LIHTC Election &gt;&gt;"</formula>
    </cfRule>
    <cfRule type="containsText" dxfId="96" priority="9" operator="containsText" text="&lt;&lt; Select Election or Income Averaging &gt;&gt;">
      <formula>NOT(ISERROR(SEARCH("&lt;&lt; Select Election or Income Averaging &gt;&gt;",L145)))</formula>
    </cfRule>
  </conditionalFormatting>
  <conditionalFormatting sqref="K132:P133">
    <cfRule type="cellIs" dxfId="95" priority="5" operator="equal">
      <formula>0</formula>
    </cfRule>
  </conditionalFormatting>
  <conditionalFormatting sqref="A6:A10">
    <cfRule type="cellIs" dxfId="94" priority="4" operator="equal">
      <formula>"Finish Row!"</formula>
    </cfRule>
  </conditionalFormatting>
  <conditionalFormatting sqref="U69">
    <cfRule type="cellIs" dxfId="93" priority="3" stopIfTrue="1" operator="greaterThan">
      <formula>0</formula>
    </cfRule>
  </conditionalFormatting>
  <conditionalFormatting sqref="K130:P131">
    <cfRule type="cellIs" dxfId="92" priority="2" operator="equal">
      <formula>0</formula>
    </cfRule>
  </conditionalFormatting>
  <conditionalFormatting sqref="K134:P135">
    <cfRule type="cellIs" dxfId="91" priority="1" operator="equal">
      <formula>0</formula>
    </cfRule>
  </conditionalFormatting>
  <dataValidations count="14">
    <dataValidation type="list" allowBlank="1" showInputMessage="1" showErrorMessage="1" sqref="G6">
      <formula1>"&lt;Select&gt;,Fixed, Floating"</formula1>
    </dataValidation>
    <dataValidation type="list" allowBlank="1" showInputMessage="1" showErrorMessage="1" sqref="K11:K48">
      <formula1>"HUD, PHA PBRA, USDA, Other Govt,RAD,  PHA Oper Sub"</formula1>
    </dataValidation>
    <dataValidation type="list" allowBlank="1" showErrorMessage="1" sqref="N11:N48">
      <formula1>"No, Common Space, Residential"</formula1>
    </dataValidation>
    <dataValidation type="list" allowBlank="1" showInputMessage="1" showErrorMessage="1" sqref="O11:O48">
      <formula1>"SF Detached, Semi-Detached, Row House/TH, Low-Rise Apt, Low-Rise Elevator, High-Rise Apt, High-Rise Elevator, Mfd Home"</formula1>
    </dataValidation>
    <dataValidation type="list" allowBlank="1" showInputMessage="1" showErrorMessage="1" sqref="C11:C48">
      <formula1>"Efficiency, 1, 2, 3, 4"</formula1>
    </dataValidation>
    <dataValidation type="list" allowBlank="1" showInputMessage="1" showErrorMessage="1" sqref="D11:D48">
      <formula1>"0, 1.0, 1.5, 2.0, 2.5, 3.0, 3.5, 4.0"</formula1>
    </dataValidation>
    <dataValidation type="list" allowBlank="1" showInputMessage="1" showErrorMessage="1" errorTitle="Invalid Entry" error="Please select from the choices provided." sqref="P11:P48">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formula1>"Yes, No"</formula1>
    </dataValidation>
    <dataValidation type="list" allowBlank="1" showInputMessage="1" showErrorMessage="1" sqref="G7">
      <formula1>"&lt;Select&gt;,Yes, No"</formula1>
    </dataValidation>
    <dataValidation type="list" allowBlank="1" showInputMessage="1" showErrorMessage="1" sqref="B11:B17">
      <formula1>"Select Mkt/CS, Unrestricted, N/A-CS"</formula1>
    </dataValidation>
    <dataValidation type="list" allowBlank="1" showInputMessage="1" showErrorMessage="1" sqref="B18:B48">
      <formula1>"20, 30, 40, 50, 60, 70, 80"</formula1>
    </dataValidation>
    <dataValidation type="list" allowBlank="1" showInputMessage="1" showErrorMessage="1" sqref="J253 L253">
      <formula1>"&lt;&lt;Select&gt;&gt;,Yes, No"</formula1>
    </dataValidation>
    <dataValidation type="list" allowBlank="1" showInputMessage="1" showErrorMessage="1" sqref="O53">
      <formula1>"&lt;&lt; Select LIHTC Election &gt;&gt;,Income Averaging, 20% of Units at 50% of AMI, 40% of Units at 60% of AMI"</formula1>
    </dataValidation>
    <dataValidation type="list" showInputMessage="1" showErrorMessage="1" sqref="O54:P54">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AA175"/>
  <sheetViews>
    <sheetView showGridLines="0" topLeftCell="A2" zoomScaleNormal="100" workbookViewId="0">
      <selection activeCell="A140" sqref="A140:F140"/>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6456</v>
      </c>
      <c r="C1" s="2259" t="s">
        <v>6457</v>
      </c>
      <c r="D1" s="2259" t="s">
        <v>6458</v>
      </c>
      <c r="E1" s="2259" t="s">
        <v>6459</v>
      </c>
      <c r="F1" s="2259" t="s">
        <v>6460</v>
      </c>
      <c r="G1" s="2259" t="s">
        <v>6461</v>
      </c>
      <c r="H1" s="2259" t="s">
        <v>6462</v>
      </c>
      <c r="I1" s="2259" t="s">
        <v>6463</v>
      </c>
      <c r="J1" s="2259" t="s">
        <v>6464</v>
      </c>
      <c r="K1" s="2259" t="s">
        <v>6465</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Magnolia Villas, Tifton, Tift County</v>
      </c>
      <c r="B2" s="3985"/>
      <c r="C2" s="3985"/>
      <c r="D2" s="3985"/>
      <c r="E2" s="3985"/>
      <c r="F2" s="3985"/>
      <c r="G2" s="3985"/>
      <c r="H2" s="3985"/>
      <c r="I2" s="3985"/>
      <c r="J2" s="3985"/>
      <c r="K2" s="3986"/>
      <c r="L2" s="10"/>
      <c r="M2" s="10"/>
      <c r="N2" s="3987" t="str">
        <f>A2</f>
        <v>PART SIX - OPERATING PRO FORMA  -  2022-0 Magnolia Villas, Tifton, Tift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3404</v>
      </c>
      <c r="N4" s="13" t="str">
        <f>A4</f>
        <v>I.  OPERATING ASSUMPTIONS</v>
      </c>
      <c r="O4" s="31"/>
      <c r="AA4" s="2263">
        <v>4</v>
      </c>
    </row>
    <row r="5" spans="1:27" ht="2.4500000000000002" customHeight="1">
      <c r="A5" s="16"/>
      <c r="B5" s="16"/>
      <c r="C5" s="3989"/>
      <c r="H5" s="16"/>
      <c r="I5" s="16"/>
      <c r="AA5" s="2263">
        <v>5</v>
      </c>
    </row>
    <row r="6" spans="1:27" ht="13.5" customHeight="1">
      <c r="A6" s="16" t="s">
        <v>2032</v>
      </c>
      <c r="B6" s="77">
        <v>0.02</v>
      </c>
      <c r="C6" s="3989"/>
      <c r="D6" s="3881" t="s">
        <v>3405</v>
      </c>
      <c r="E6" s="3881"/>
      <c r="F6" s="3881"/>
      <c r="G6" s="80">
        <v>7500</v>
      </c>
      <c r="H6" s="97" t="s">
        <v>1768</v>
      </c>
      <c r="K6" s="102">
        <f>IF(($B$15+$B$16+$B$17+$B$18)=0,"",B31/($B$15+$B$16+$B$17+$B$18))</f>
        <v>-2.505669126512116E-2</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7.3766899084516696E-2</v>
      </c>
      <c r="N8" s="3864"/>
      <c r="O8" s="3866"/>
      <c r="AA8" s="2263">
        <v>8</v>
      </c>
    </row>
    <row r="9" spans="1:27" ht="13.35" customHeight="1">
      <c r="A9" s="16" t="s">
        <v>2034</v>
      </c>
      <c r="B9" s="241">
        <v>7.0000000000000007E-2</v>
      </c>
      <c r="C9" s="1534" t="str">
        <f>IF(B9&lt;0.07, "Must be &gt;= 7%!","")</f>
        <v/>
      </c>
      <c r="D9" s="78" t="s">
        <v>2308</v>
      </c>
      <c r="G9" s="1554" t="s">
        <v>2651</v>
      </c>
      <c r="H9" s="175" t="s">
        <v>1356</v>
      </c>
      <c r="K9" s="1556">
        <v>22080</v>
      </c>
      <c r="N9" s="3864"/>
      <c r="O9" s="3866"/>
      <c r="AA9" s="2263">
        <v>9</v>
      </c>
    </row>
    <row r="10" spans="1:27">
      <c r="A10" s="16" t="s">
        <v>1337</v>
      </c>
      <c r="B10" s="77">
        <v>0.02</v>
      </c>
      <c r="D10" s="78" t="s">
        <v>1598</v>
      </c>
      <c r="G10" s="1555"/>
      <c r="H10" s="175" t="s">
        <v>2175</v>
      </c>
      <c r="K10" s="1557"/>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315540</v>
      </c>
      <c r="C15" s="19">
        <f t="shared" ref="C15:K15" si="1">$B$15*(1+$B$6)^(C14-1)</f>
        <v>321850.8</v>
      </c>
      <c r="D15" s="19">
        <f t="shared" si="1"/>
        <v>328287.81599999999</v>
      </c>
      <c r="E15" s="19">
        <f t="shared" si="1"/>
        <v>334853.57231999998</v>
      </c>
      <c r="F15" s="19">
        <f t="shared" si="1"/>
        <v>341550.6437664</v>
      </c>
      <c r="G15" s="19">
        <f t="shared" si="1"/>
        <v>348381.65664172801</v>
      </c>
      <c r="H15" s="19">
        <f t="shared" si="1"/>
        <v>355349.28977456258</v>
      </c>
      <c r="I15" s="19">
        <f t="shared" si="1"/>
        <v>362456.27557005378</v>
      </c>
      <c r="J15" s="19">
        <f t="shared" si="1"/>
        <v>369705.40108145488</v>
      </c>
      <c r="K15" s="20">
        <f t="shared" si="1"/>
        <v>377099.50910308398</v>
      </c>
      <c r="N15" s="3870"/>
      <c r="O15" s="3872"/>
      <c r="S15" s="3980" t="s">
        <v>3410</v>
      </c>
      <c r="Z15" s="2259" t="s">
        <v>6466</v>
      </c>
      <c r="AA15" s="2263">
        <v>15</v>
      </c>
    </row>
    <row r="16" spans="1:27" ht="13.35" customHeight="1">
      <c r="A16" s="21" t="s">
        <v>953</v>
      </c>
      <c r="B16" s="22">
        <f>MIN(B15*B10,'Part V-Revenues &amp; Expenses'!$H$179)</f>
        <v>6310.8</v>
      </c>
      <c r="C16" s="22">
        <f t="shared" ref="C16:K16" si="2">$B$16*(1+$B$6)^(C14-1)</f>
        <v>6437.0160000000005</v>
      </c>
      <c r="D16" s="22">
        <f t="shared" si="2"/>
        <v>6565.7563200000004</v>
      </c>
      <c r="E16" s="22">
        <f t="shared" si="2"/>
        <v>6697.0714463999993</v>
      </c>
      <c r="F16" s="22">
        <f t="shared" si="2"/>
        <v>6831.0128753279996</v>
      </c>
      <c r="G16" s="22">
        <f t="shared" si="2"/>
        <v>6967.6331328345605</v>
      </c>
      <c r="H16" s="22">
        <f t="shared" si="2"/>
        <v>7106.9857954912522</v>
      </c>
      <c r="I16" s="22">
        <f t="shared" si="2"/>
        <v>7249.1255114010755</v>
      </c>
      <c r="J16" s="22">
        <f t="shared" si="2"/>
        <v>7394.1080216290975</v>
      </c>
      <c r="K16" s="23">
        <f t="shared" si="2"/>
        <v>7541.9901820616797</v>
      </c>
      <c r="N16" s="3864"/>
      <c r="O16" s="3866"/>
      <c r="S16" s="3981"/>
      <c r="Z16" s="2259" t="s">
        <v>6466</v>
      </c>
      <c r="AA16" s="2263">
        <v>16</v>
      </c>
    </row>
    <row r="17" spans="1:27" ht="13.35" customHeight="1">
      <c r="A17" s="21" t="s">
        <v>2217</v>
      </c>
      <c r="B17" s="22">
        <f t="shared" ref="B17:K17" si="3">-(B15+B16)*$B$9</f>
        <v>-22529.556</v>
      </c>
      <c r="C17" s="22">
        <f t="shared" si="3"/>
        <v>-22980.147120000001</v>
      </c>
      <c r="D17" s="22">
        <f t="shared" si="3"/>
        <v>-23439.750062400002</v>
      </c>
      <c r="E17" s="22">
        <f t="shared" si="3"/>
        <v>-23908.545063648002</v>
      </c>
      <c r="F17" s="22">
        <f t="shared" si="3"/>
        <v>-24386.715964920964</v>
      </c>
      <c r="G17" s="22">
        <f t="shared" si="3"/>
        <v>-24874.450284219383</v>
      </c>
      <c r="H17" s="22">
        <f t="shared" si="3"/>
        <v>-25371.93928990377</v>
      </c>
      <c r="I17" s="22">
        <f t="shared" si="3"/>
        <v>-25879.378075701843</v>
      </c>
      <c r="J17" s="22">
        <f t="shared" si="3"/>
        <v>-26396.965637215882</v>
      </c>
      <c r="K17" s="23">
        <f t="shared" si="3"/>
        <v>-26924.904949960201</v>
      </c>
      <c r="N17" s="3864"/>
      <c r="O17" s="3866"/>
      <c r="Q17" s="3983" t="s">
        <v>3300</v>
      </c>
      <c r="R17" s="3983" t="s">
        <v>3409</v>
      </c>
      <c r="S17" s="3981"/>
      <c r="Z17" s="2259" t="s">
        <v>6466</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6466</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6466</v>
      </c>
      <c r="AA19" s="2261">
        <v>19</v>
      </c>
    </row>
    <row r="20" spans="1:27" ht="13.35" customHeight="1">
      <c r="A20" s="447" t="s">
        <v>3841</v>
      </c>
      <c r="B20" s="22">
        <f>SUM(B15:B19)</f>
        <v>299321.24400000001</v>
      </c>
      <c r="C20" s="22">
        <f t="shared" ref="C20:K20" si="4">SUM(C15:C19)</f>
        <v>305307.66888000001</v>
      </c>
      <c r="D20" s="22">
        <f t="shared" si="4"/>
        <v>311413.82225759997</v>
      </c>
      <c r="E20" s="22">
        <f t="shared" si="4"/>
        <v>317642.09870275197</v>
      </c>
      <c r="F20" s="22">
        <f t="shared" si="4"/>
        <v>323994.94067680708</v>
      </c>
      <c r="G20" s="22">
        <f t="shared" si="4"/>
        <v>330474.83949034318</v>
      </c>
      <c r="H20" s="22">
        <f t="shared" si="4"/>
        <v>337084.33628015005</v>
      </c>
      <c r="I20" s="22">
        <f t="shared" si="4"/>
        <v>343826.02300575306</v>
      </c>
      <c r="J20" s="22">
        <f t="shared" si="4"/>
        <v>350702.5434658681</v>
      </c>
      <c r="K20" s="23">
        <f t="shared" si="4"/>
        <v>357716.59433518548</v>
      </c>
      <c r="N20" s="3864"/>
      <c r="O20" s="3866"/>
      <c r="Z20" s="2259" t="s">
        <v>6466</v>
      </c>
      <c r="AA20" s="2262">
        <v>20</v>
      </c>
    </row>
    <row r="21" spans="1:27" ht="13.35" customHeight="1">
      <c r="A21" s="21" t="s">
        <v>572</v>
      </c>
      <c r="B21" s="22">
        <f>-('Part V-Revenues &amp; Expenses'!$Q$228-'Part V-Revenues &amp; Expenses'!$Q$220)</f>
        <v>-194669</v>
      </c>
      <c r="C21" s="22">
        <f t="shared" ref="C21:K21" si="5">$B$21*(1+$B$7)^(C14-1)</f>
        <v>-200509.07</v>
      </c>
      <c r="D21" s="22">
        <f t="shared" si="5"/>
        <v>-206524.34209999998</v>
      </c>
      <c r="E21" s="22">
        <f t="shared" si="5"/>
        <v>-212720.07236300001</v>
      </c>
      <c r="F21" s="22">
        <f t="shared" si="5"/>
        <v>-219101.67453388998</v>
      </c>
      <c r="G21" s="22">
        <f t="shared" si="5"/>
        <v>-225674.72476990666</v>
      </c>
      <c r="H21" s="22">
        <f t="shared" si="5"/>
        <v>-232444.96651300389</v>
      </c>
      <c r="I21" s="22">
        <f t="shared" si="5"/>
        <v>-239418.31550839401</v>
      </c>
      <c r="J21" s="22">
        <f t="shared" si="5"/>
        <v>-246600.8649736458</v>
      </c>
      <c r="K21" s="23">
        <f t="shared" si="5"/>
        <v>-253998.89092285518</v>
      </c>
      <c r="N21" s="3864"/>
      <c r="O21" s="3866"/>
      <c r="Q21" s="62">
        <v>1</v>
      </c>
      <c r="R21" s="1105">
        <f>-B32</f>
        <v>20197</v>
      </c>
      <c r="S21" s="1105">
        <f>B33+R21</f>
        <v>23751.958519943291</v>
      </c>
      <c r="Z21" s="2259" t="s">
        <v>6466</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-22080</v>
      </c>
      <c r="C22" s="22">
        <f>IF(AND('Part VI-Pro Forma'!$G$9="Yes",'Part VI-Pro Forma'!$G$10="Yes"),"Choose One!",IF('Part VI-Pro Forma'!$G$9="Yes",ROUND((-$K$9*(1+'Part VI-Pro Forma'!$B$7)^('Part VI-Pro Forma'!C14-1)),),IF('Part VI-Pro Forma'!$G$10="Yes",ROUND((-(SUM(C15:C18)*'Part VI-Pro Forma'!$K$10)),),"Choose mgt fee")))</f>
        <v>-22742</v>
      </c>
      <c r="D22" s="22">
        <f>IF(AND('Part VI-Pro Forma'!$G$9="Yes",'Part VI-Pro Forma'!$G$10="Yes"),"Choose One!",IF('Part VI-Pro Forma'!$G$9="Yes",ROUND((-$K$9*(1+'Part VI-Pro Forma'!$B$7)^('Part VI-Pro Forma'!D14-1)),),IF('Part VI-Pro Forma'!$G$10="Yes",ROUND((-(SUM(D15:D18)*'Part VI-Pro Forma'!$K$10)),),"Choose mgt fee")))</f>
        <v>-23425</v>
      </c>
      <c r="E22" s="22">
        <f>IF(AND('Part VI-Pro Forma'!$G$9="Yes",'Part VI-Pro Forma'!$G$10="Yes"),"Choose One!",IF('Part VI-Pro Forma'!$G$9="Yes",ROUND((-$K$9*(1+'Part VI-Pro Forma'!$B$7)^('Part VI-Pro Forma'!E14-1)),),IF('Part VI-Pro Forma'!$G$10="Yes",ROUND((-(SUM(E15:E18)*'Part VI-Pro Forma'!$K$10)),),"Choose mgt fee")))</f>
        <v>-24127</v>
      </c>
      <c r="F22" s="22">
        <f>IF(AND('Part VI-Pro Forma'!$G$9="Yes",'Part VI-Pro Forma'!$G$10="Yes"),"Choose One!",IF('Part VI-Pro Forma'!$G$9="Yes",ROUND((-$K$9*(1+'Part VI-Pro Forma'!$B$7)^('Part VI-Pro Forma'!F14-1)),),IF('Part VI-Pro Forma'!$G$10="Yes",ROUND((-(SUM(F15:F18)*'Part VI-Pro Forma'!$K$10)),),"Choose mgt fee")))</f>
        <v>-24851</v>
      </c>
      <c r="G22" s="22">
        <f>IF(AND('Part VI-Pro Forma'!$G$9="Yes",'Part VI-Pro Forma'!$G$10="Yes"),"Choose One!",IF('Part VI-Pro Forma'!$G$9="Yes",ROUND((-$K$9*(1+'Part VI-Pro Forma'!$B$7)^('Part VI-Pro Forma'!G14-1)),),IF('Part VI-Pro Forma'!$G$10="Yes",ROUND((-(SUM(G15:G18)*'Part VI-Pro Forma'!$K$10)),),"Choose mgt fee")))</f>
        <v>-25597</v>
      </c>
      <c r="H22" s="22">
        <f>IF(AND('Part VI-Pro Forma'!$G$9="Yes",'Part VI-Pro Forma'!$G$10="Yes"),"Choose One!",IF('Part VI-Pro Forma'!$G$9="Yes",ROUND((-$K$9*(1+'Part VI-Pro Forma'!$B$7)^('Part VI-Pro Forma'!H14-1)),),IF('Part VI-Pro Forma'!$G$10="Yes",ROUND((-(SUM(H15:H18)*'Part VI-Pro Forma'!$K$10)),),"Choose mgt fee")))</f>
        <v>-26365</v>
      </c>
      <c r="I22" s="22">
        <f>IF(AND('Part VI-Pro Forma'!$G$9="Yes",'Part VI-Pro Forma'!$G$10="Yes"),"Choose One!",IF('Part VI-Pro Forma'!$G$9="Yes",ROUND((-$K$9*(1+'Part VI-Pro Forma'!$B$7)^('Part VI-Pro Forma'!I14-1)),),IF('Part VI-Pro Forma'!$G$10="Yes",ROUND((-(SUM(I15:I18)*'Part VI-Pro Forma'!$K$10)),),"Choose mgt fee")))</f>
        <v>-27156</v>
      </c>
      <c r="J22" s="22">
        <f>IF(AND('Part VI-Pro Forma'!$G$9="Yes",'Part VI-Pro Forma'!$G$10="Yes"),"Choose One!",IF('Part VI-Pro Forma'!$G$9="Yes",ROUND((-$K$9*(1+'Part VI-Pro Forma'!$B$7)^('Part VI-Pro Forma'!J14-1)),),IF('Part VI-Pro Forma'!$G$10="Yes",ROUND((-(SUM(J15:J18)*'Part VI-Pro Forma'!$K$10)),),"Choose mgt fee")))</f>
        <v>-27970</v>
      </c>
      <c r="K22" s="23">
        <f>IF(AND('Part VI-Pro Forma'!$G$9="Yes",'Part VI-Pro Forma'!$G$10="Yes"),"Choose One!",IF('Part VI-Pro Forma'!$G$9="Yes",ROUND((-$K$9*(1+'Part VI-Pro Forma'!$B$7)^('Part VI-Pro Forma'!K14-1)),),IF('Part VI-Pro Forma'!$G$10="Yes",ROUND((-(SUM(K15:K18)*'Part VI-Pro Forma'!$K$10)),),"Choose mgt fee")))</f>
        <v>-28809</v>
      </c>
      <c r="N22" s="3864"/>
      <c r="O22" s="3866"/>
      <c r="Q22" s="62">
        <v>2</v>
      </c>
      <c r="R22" s="1105">
        <f>-SUM(B32:C32)</f>
        <v>20197</v>
      </c>
      <c r="S22" s="1105">
        <f>SUM(B33:C33)+R22</f>
        <v>46643.271919886582</v>
      </c>
      <c r="Z22" s="2259" t="s">
        <v>6466</v>
      </c>
      <c r="AA22" s="2263">
        <v>22</v>
      </c>
    </row>
    <row r="23" spans="1:27" ht="13.35" customHeight="1">
      <c r="A23" s="21" t="s">
        <v>1129</v>
      </c>
      <c r="B23" s="22">
        <f>-('Part V-Revenues &amp; Expenses'!$Q$234)</f>
        <v>-11500</v>
      </c>
      <c r="C23" s="22">
        <f t="shared" ref="C23:K23" si="6">$B$23*(1+$B$8)^(C14-1)</f>
        <v>-11845</v>
      </c>
      <c r="D23" s="22">
        <f t="shared" si="6"/>
        <v>-12200.35</v>
      </c>
      <c r="E23" s="22">
        <f t="shared" si="6"/>
        <v>-12566.360500000001</v>
      </c>
      <c r="F23" s="22">
        <f t="shared" si="6"/>
        <v>-12943.351315</v>
      </c>
      <c r="G23" s="22">
        <f t="shared" si="6"/>
        <v>-13331.651854449998</v>
      </c>
      <c r="H23" s="22">
        <f t="shared" si="6"/>
        <v>-13731.601410083498</v>
      </c>
      <c r="I23" s="22">
        <f t="shared" si="6"/>
        <v>-14143.549452386005</v>
      </c>
      <c r="J23" s="22">
        <f t="shared" si="6"/>
        <v>-14567.855935957583</v>
      </c>
      <c r="K23" s="23">
        <f t="shared" si="6"/>
        <v>-15004.891614036311</v>
      </c>
      <c r="N23" s="3864"/>
      <c r="O23" s="3866"/>
      <c r="Q23" s="62">
        <v>3</v>
      </c>
      <c r="R23" s="1105">
        <f>-SUM(B32:D32)</f>
        <v>20197</v>
      </c>
      <c r="S23" s="1105">
        <f>SUM(B33:D33)+R23</f>
        <v>68587.116597429849</v>
      </c>
      <c r="Z23" s="2259" t="s">
        <v>6466</v>
      </c>
      <c r="AA23" s="2263">
        <v>23</v>
      </c>
    </row>
    <row r="24" spans="1:27" ht="13.35" customHeight="1">
      <c r="A24" s="447" t="s">
        <v>3840</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20197</v>
      </c>
      <c r="S24" s="1105">
        <f>SUM(B33:E33)+R24</f>
        <v>89495.496957125099</v>
      </c>
      <c r="Z24" s="2259" t="s">
        <v>6466</v>
      </c>
      <c r="AA24" s="2261">
        <v>24</v>
      </c>
    </row>
    <row r="25" spans="1:27" ht="13.35" customHeight="1">
      <c r="A25" s="21" t="s">
        <v>1130</v>
      </c>
      <c r="B25" s="22">
        <f>SUM(B20:B24)</f>
        <v>71072.244000000006</v>
      </c>
      <c r="C25" s="22">
        <f t="shared" ref="C25:J25" si="7">SUM(C20:C24)</f>
        <v>70211.598880000005</v>
      </c>
      <c r="D25" s="22">
        <f t="shared" si="7"/>
        <v>69264.130157599982</v>
      </c>
      <c r="E25" s="22">
        <f t="shared" si="7"/>
        <v>68228.665839751964</v>
      </c>
      <c r="F25" s="22">
        <f t="shared" si="7"/>
        <v>67098.914827917091</v>
      </c>
      <c r="G25" s="22">
        <f t="shared" si="7"/>
        <v>65871.462865986512</v>
      </c>
      <c r="H25" s="22">
        <f t="shared" si="7"/>
        <v>64542.768357062654</v>
      </c>
      <c r="I25" s="22">
        <f t="shared" si="7"/>
        <v>63108.158044973046</v>
      </c>
      <c r="J25" s="22">
        <f t="shared" si="7"/>
        <v>61563.82255626472</v>
      </c>
      <c r="K25" s="1538">
        <f>SUM(K20:K24)</f>
        <v>59903.811798293988</v>
      </c>
      <c r="N25" s="3864"/>
      <c r="O25" s="3866"/>
      <c r="Q25" s="958">
        <v>5</v>
      </c>
      <c r="R25" s="1105">
        <f>-SUM(B32:F32)</f>
        <v>20197</v>
      </c>
      <c r="S25" s="1105">
        <f>SUM(B33:F33)+R25</f>
        <v>109274.12630498548</v>
      </c>
      <c r="Z25" s="2259" t="s">
        <v>6466</v>
      </c>
      <c r="AA25" s="2262">
        <v>25</v>
      </c>
    </row>
    <row r="26" spans="1:27" ht="13.35" customHeight="1">
      <c r="A26" s="447" t="s">
        <v>1487</v>
      </c>
      <c r="B26" s="448">
        <f>IF('Part II-Sources of Funds'!$P$40="", 0,-'Part II-Sources of Funds'!$P$40)</f>
        <v>-39820.285480056715</v>
      </c>
      <c r="C26" s="448">
        <f>IF('Part II-Sources of Funds'!$P$40="", 0,-'Part II-Sources of Funds'!$P$40)</f>
        <v>-39820.285480056715</v>
      </c>
      <c r="D26" s="448">
        <f>IF('Part II-Sources of Funds'!$P$40="", 0,-'Part II-Sources of Funds'!$P$40)</f>
        <v>-39820.285480056715</v>
      </c>
      <c r="E26" s="448">
        <f>IF('Part II-Sources of Funds'!$P$40="", 0,-'Part II-Sources of Funds'!$P$40)</f>
        <v>-39820.285480056715</v>
      </c>
      <c r="F26" s="448">
        <f>IF('Part II-Sources of Funds'!$P$40="", 0,-'Part II-Sources of Funds'!$P$40)</f>
        <v>-39820.285480056715</v>
      </c>
      <c r="G26" s="448">
        <f>IF('Part II-Sources of Funds'!$P$40="", 0,-'Part II-Sources of Funds'!$P$40)</f>
        <v>-39820.285480056715</v>
      </c>
      <c r="H26" s="448">
        <f>IF('Part II-Sources of Funds'!$P$40="", 0,-'Part II-Sources of Funds'!$P$40)</f>
        <v>-39820.285480056715</v>
      </c>
      <c r="I26" s="448">
        <f>IF('Part II-Sources of Funds'!$P$40="", 0,-'Part II-Sources of Funds'!$P$40)</f>
        <v>-39820.285480056715</v>
      </c>
      <c r="J26" s="448">
        <f>IF('Part II-Sources of Funds'!$P$40="", 0,-'Part II-Sources of Funds'!$P$40)</f>
        <v>-39820.285480056715</v>
      </c>
      <c r="K26" s="448">
        <f>IF('Part II-Sources of Funds'!$P$40="", 0,-'Part II-Sources of Funds'!$P$40)</f>
        <v>-39820.285480056715</v>
      </c>
      <c r="N26" s="3864"/>
      <c r="O26" s="3866"/>
      <c r="Q26" s="958">
        <v>6</v>
      </c>
      <c r="R26" s="1105">
        <f>-SUM(B32:G32)</f>
        <v>20197</v>
      </c>
      <c r="S26" s="1105">
        <f>SUM(B33:G33)+R26</f>
        <v>127825.30369091527</v>
      </c>
      <c r="Z26" s="2259" t="s">
        <v>6466</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20197</v>
      </c>
      <c r="S27" s="1105">
        <f>SUM(B33:H33)+R27</f>
        <v>145047.78656792123</v>
      </c>
      <c r="Z27" s="2259" t="s">
        <v>6466</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20197</v>
      </c>
      <c r="S28" s="1105">
        <f>SUM(B33:I33)+R28</f>
        <v>160835.65913283755</v>
      </c>
      <c r="Z28" s="2259" t="s">
        <v>6466</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20197</v>
      </c>
      <c r="S29" s="1105">
        <f>SUM(B33:J33)+R29</f>
        <v>175079.19620904556</v>
      </c>
      <c r="Z29" s="2259" t="s">
        <v>6466</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20197</v>
      </c>
      <c r="S30" s="1105">
        <f>SUM(B33:K33)+R30</f>
        <v>187662.72252728284</v>
      </c>
      <c r="Z30" s="2259" t="s">
        <v>6466</v>
      </c>
      <c r="AA30" s="2263">
        <v>30</v>
      </c>
    </row>
    <row r="31" spans="1:27" ht="13.35" customHeight="1">
      <c r="A31" s="447" t="s">
        <v>1096</v>
      </c>
      <c r="B31" s="1164">
        <f>-$G$6</f>
        <v>-7500</v>
      </c>
      <c r="C31" s="1164">
        <f t="shared" ref="C31:K31" si="8">+B31</f>
        <v>-7500</v>
      </c>
      <c r="D31" s="1164">
        <f t="shared" si="8"/>
        <v>-7500</v>
      </c>
      <c r="E31" s="1164">
        <f>+D31</f>
        <v>-7500</v>
      </c>
      <c r="F31" s="1164">
        <f t="shared" si="8"/>
        <v>-7500</v>
      </c>
      <c r="G31" s="1164">
        <f t="shared" si="8"/>
        <v>-7500</v>
      </c>
      <c r="H31" s="1164">
        <f t="shared" si="8"/>
        <v>-7500</v>
      </c>
      <c r="I31" s="1164">
        <f t="shared" si="8"/>
        <v>-7500</v>
      </c>
      <c r="J31" s="1164">
        <f t="shared" si="8"/>
        <v>-7500</v>
      </c>
      <c r="K31" s="1164">
        <f t="shared" si="8"/>
        <v>-7500</v>
      </c>
      <c r="N31" s="3864"/>
      <c r="O31" s="3866"/>
      <c r="Q31" s="958">
        <v>11</v>
      </c>
      <c r="R31" s="1105">
        <f>-SUM(B32:K32)-B64</f>
        <v>20197</v>
      </c>
      <c r="S31" s="1105">
        <f>SUM(B33:K33)+B65+R31</f>
        <v>198465.46725611709</v>
      </c>
      <c r="Z31" s="2259" t="s">
        <v>6466</v>
      </c>
      <c r="AA31" s="2263">
        <v>31</v>
      </c>
    </row>
    <row r="32" spans="1:27" ht="13.35" customHeight="1">
      <c r="A32" s="447" t="s">
        <v>3363</v>
      </c>
      <c r="B32" s="234">
        <v>-20197</v>
      </c>
      <c r="C32" s="234"/>
      <c r="D32" s="234"/>
      <c r="E32" s="234"/>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4"/>
      <c r="O32" s="3866"/>
      <c r="Q32" s="958">
        <v>12</v>
      </c>
      <c r="R32" s="1105">
        <f>-SUM(B32:K32) - SUM(B64:C64)</f>
        <v>20197</v>
      </c>
      <c r="S32" s="1105">
        <f>SUM(B33:K33) + SUM(B65:C65)+R32</f>
        <v>207363.413628999</v>
      </c>
      <c r="Z32" s="2259" t="s">
        <v>6466</v>
      </c>
      <c r="AA32" s="2263">
        <v>32</v>
      </c>
    </row>
    <row r="33" spans="1:27" ht="13.35" customHeight="1">
      <c r="A33" s="21" t="s">
        <v>1097</v>
      </c>
      <c r="B33" s="22">
        <f t="shared" ref="B33:K33" si="9">SUM(B25:B32)</f>
        <v>3554.9585199432913</v>
      </c>
      <c r="C33" s="22">
        <f t="shared" si="9"/>
        <v>22891.31339994329</v>
      </c>
      <c r="D33" s="22">
        <f t="shared" si="9"/>
        <v>21943.844677543268</v>
      </c>
      <c r="E33" s="22">
        <f t="shared" si="9"/>
        <v>20908.380359695249</v>
      </c>
      <c r="F33" s="22">
        <f t="shared" si="9"/>
        <v>19778.629347860377</v>
      </c>
      <c r="G33" s="22">
        <f t="shared" si="9"/>
        <v>18551.177385929797</v>
      </c>
      <c r="H33" s="22">
        <f t="shared" si="9"/>
        <v>17222.482877005939</v>
      </c>
      <c r="I33" s="22">
        <f t="shared" si="9"/>
        <v>15787.872564916332</v>
      </c>
      <c r="J33" s="22">
        <f t="shared" si="9"/>
        <v>14243.537076208006</v>
      </c>
      <c r="K33" s="23">
        <f t="shared" si="9"/>
        <v>12583.526318237273</v>
      </c>
      <c r="N33" s="3864"/>
      <c r="O33" s="3866"/>
      <c r="Q33" s="958">
        <v>13</v>
      </c>
      <c r="R33" s="1105">
        <f>-SUM(B32:K32) - SUM(B64:D64)</f>
        <v>20197</v>
      </c>
      <c r="S33" s="1105">
        <f>SUM(B33:K33) + SUM(B65:D65)+R33</f>
        <v>214226.14351000596</v>
      </c>
      <c r="Z33" s="2259" t="s">
        <v>6466</v>
      </c>
      <c r="AA33" s="2261">
        <v>33</v>
      </c>
    </row>
    <row r="34" spans="1:27" ht="13.35" customHeight="1">
      <c r="A34" s="21" t="str">
        <f>IF('Part II-Sources of Funds'!$E$40 = "Neither", "", "DCR Mortgage A")</f>
        <v>DCR Mortgage A</v>
      </c>
      <c r="B34" s="24">
        <f t="shared" ref="B34:K34" si="10">IF(B26=0,"",-B25/B26)</f>
        <v>1.7848250745363261</v>
      </c>
      <c r="C34" s="24">
        <f t="shared" si="10"/>
        <v>1.7632118412401701</v>
      </c>
      <c r="D34" s="24">
        <f t="shared" si="10"/>
        <v>1.7394182217073682</v>
      </c>
      <c r="E34" s="24">
        <f t="shared" si="10"/>
        <v>1.713414783877506</v>
      </c>
      <c r="F34" s="24">
        <f t="shared" si="10"/>
        <v>1.6850435404719133</v>
      </c>
      <c r="G34" s="24">
        <f t="shared" si="10"/>
        <v>1.6542187498624807</v>
      </c>
      <c r="H34" s="24">
        <f t="shared" si="10"/>
        <v>1.6208514725337104</v>
      </c>
      <c r="I34" s="24">
        <f t="shared" si="10"/>
        <v>1.5848243498048162</v>
      </c>
      <c r="J34" s="24">
        <f t="shared" si="10"/>
        <v>1.546041717533589</v>
      </c>
      <c r="K34" s="25">
        <f t="shared" si="10"/>
        <v>1.504354152063921</v>
      </c>
      <c r="N34" s="3864"/>
      <c r="O34" s="3866"/>
      <c r="Q34" s="958">
        <v>14</v>
      </c>
      <c r="R34" s="1105">
        <f>-SUM(B32:K32) - SUM(B64:E64)</f>
        <v>20197</v>
      </c>
      <c r="S34" s="1105">
        <f>SUM(B33:K33) + SUM(B65:E65)+R34</f>
        <v>218918.67673543232</v>
      </c>
      <c r="Z34" s="2259" t="s">
        <v>6466</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4"/>
      <c r="O35" s="3866"/>
      <c r="Q35" s="958">
        <v>15</v>
      </c>
      <c r="R35" s="1105">
        <f>-SUM(B32:K32) - SUM(B64:F64)</f>
        <v>20197</v>
      </c>
      <c r="S35" s="1105">
        <f>SUM(B33:K33) + SUM(B65:F65)+R35</f>
        <v>221299.30506328237</v>
      </c>
      <c r="Z35" s="2259" t="s">
        <v>6466</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4"/>
      <c r="O36" s="3866"/>
      <c r="Q36" s="62">
        <v>16</v>
      </c>
      <c r="R36" s="1105">
        <f>-SUM(B32:K32) - SUM(B64:G64)</f>
        <v>20197</v>
      </c>
      <c r="S36" s="1105">
        <f>SUM(B33:K33) + SUM(B65:G65)+R36</f>
        <v>221221.42055745388</v>
      </c>
      <c r="Z36" s="2259" t="s">
        <v>6466</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4"/>
      <c r="O37" s="3866"/>
      <c r="Q37" s="62">
        <v>17</v>
      </c>
      <c r="R37" s="1105">
        <f>-SUM(B32:K32) - SUM(B64:H64)</f>
        <v>20197</v>
      </c>
      <c r="S37" s="1105">
        <f>SUM(B33:K33) + SUM(B65:H65)+R37</f>
        <v>218532.33822797844</v>
      </c>
      <c r="Z37" s="2259" t="s">
        <v>6466</v>
      </c>
      <c r="AA37" s="2263">
        <v>37</v>
      </c>
    </row>
    <row r="38" spans="1:27" ht="13.35" customHeight="1">
      <c r="A38" s="447" t="s">
        <v>3216</v>
      </c>
      <c r="B38" s="24">
        <f t="shared" ref="B38:K38" si="14">IF(AND(B26=0,B27=0,B28=0,B29=0),"",-B25/(B26+B27+B28+B29))</f>
        <v>1.7848250745363261</v>
      </c>
      <c r="C38" s="24">
        <f t="shared" si="14"/>
        <v>1.7632118412401701</v>
      </c>
      <c r="D38" s="24">
        <f t="shared" si="14"/>
        <v>1.7394182217073682</v>
      </c>
      <c r="E38" s="24">
        <f t="shared" si="14"/>
        <v>1.713414783877506</v>
      </c>
      <c r="F38" s="24">
        <f t="shared" si="14"/>
        <v>1.6850435404719133</v>
      </c>
      <c r="G38" s="24">
        <f t="shared" si="14"/>
        <v>1.6542187498624807</v>
      </c>
      <c r="H38" s="24">
        <f t="shared" si="14"/>
        <v>1.6208514725337104</v>
      </c>
      <c r="I38" s="24">
        <f t="shared" si="14"/>
        <v>1.5848243498048162</v>
      </c>
      <c r="J38" s="24">
        <f t="shared" si="14"/>
        <v>1.546041717533589</v>
      </c>
      <c r="K38" s="25">
        <f t="shared" si="14"/>
        <v>1.504354152063921</v>
      </c>
      <c r="N38" s="3864"/>
      <c r="O38" s="3866"/>
      <c r="Q38" s="62">
        <v>18</v>
      </c>
      <c r="R38" s="1105">
        <f>-SUM(B32:K32) - SUM(B64:I64)</f>
        <v>20197</v>
      </c>
      <c r="S38" s="1105">
        <f>SUM(B33:K33) + SUM(B65:I65)+R38</f>
        <v>213073.11274308915</v>
      </c>
      <c r="Z38" s="2259" t="s">
        <v>6466</v>
      </c>
      <c r="AA38" s="2263">
        <v>38</v>
      </c>
    </row>
    <row r="39" spans="1:27" ht="13.35" customHeight="1">
      <c r="A39" s="21" t="s">
        <v>718</v>
      </c>
      <c r="B39" s="288">
        <f t="shared" ref="B39:K39" si="15">IF(OR(B22="Choose mgt fee",B22="Choose One!"),"",(B15+B16+B17+B18+B19) / -(B21+B22+B23))</f>
        <v>1.3113803083474627</v>
      </c>
      <c r="C39" s="288">
        <f t="shared" si="15"/>
        <v>1.298650670255781</v>
      </c>
      <c r="D39" s="288">
        <f t="shared" si="15"/>
        <v>1.2860384812258863</v>
      </c>
      <c r="E39" s="288">
        <f t="shared" si="15"/>
        <v>1.2735565003719314</v>
      </c>
      <c r="F39" s="288">
        <f t="shared" si="15"/>
        <v>1.2611909413786948</v>
      </c>
      <c r="G39" s="288">
        <f t="shared" si="15"/>
        <v>1.2489441506995609</v>
      </c>
      <c r="H39" s="288">
        <f t="shared" si="15"/>
        <v>1.2368180709053416</v>
      </c>
      <c r="I39" s="288">
        <f t="shared" si="15"/>
        <v>1.224809910312584</v>
      </c>
      <c r="J39" s="288">
        <f t="shared" si="15"/>
        <v>1.2129214045168033</v>
      </c>
      <c r="K39" s="289">
        <f t="shared" si="15"/>
        <v>1.2011458718729557</v>
      </c>
      <c r="N39" s="3864"/>
      <c r="O39" s="3866"/>
      <c r="Q39" s="958">
        <v>19</v>
      </c>
      <c r="R39" s="1105">
        <f>-SUM(B32:K32) - SUM(B64:J64)</f>
        <v>20197</v>
      </c>
      <c r="S39" s="1105">
        <f>SUM(B33:K33) + SUM(B65:J65)+R39</f>
        <v>204678.34902312476</v>
      </c>
      <c r="Z39" s="2259" t="s">
        <v>6466</v>
      </c>
      <c r="AA39" s="2263">
        <v>39</v>
      </c>
    </row>
    <row r="40" spans="1:27" ht="13.35" customHeight="1">
      <c r="A40" s="447" t="s">
        <v>2406</v>
      </c>
      <c r="B40" s="232">
        <f>IF('Part II-Sources of Funds'!$I$40="","",-FV('Part II-Sources of Funds'!$K$40/12,12,B26/12,'Part II-Sources of Funds'!$I$40))</f>
        <v>519131.9412879601</v>
      </c>
      <c r="C40" s="232">
        <f>IF('Part II-Sources of Funds'!$I$40="","",-FV('Part II-Sources of Funds'!$K$40/12,12,C26/12,B40))</f>
        <v>512870.88781631523</v>
      </c>
      <c r="D40" s="232">
        <f>IF('Part II-Sources of Funds'!$I$40="","",-FV('Part II-Sources of Funds'!$K$40/12,12,D26/12,C40))</f>
        <v>506190.51999818737</v>
      </c>
      <c r="E40" s="232">
        <f>IF('Part II-Sources of Funds'!$I$40="","",-FV('Part II-Sources of Funds'!$K$40/12,12,E26/12,D40))</f>
        <v>499062.75557522132</v>
      </c>
      <c r="F40" s="232">
        <f>IF('Part II-Sources of Funds'!$I$40="","",-FV('Part II-Sources of Funds'!$K$40/12,12,F26/12,E40))</f>
        <v>491457.63156821142</v>
      </c>
      <c r="G40" s="232">
        <f>IF('Part II-Sources of Funds'!$I$40="","",-FV('Part II-Sources of Funds'!$K$40/12,12,G26/12,F40))</f>
        <v>483343.17832174309</v>
      </c>
      <c r="H40" s="232">
        <f>IF('Part II-Sources of Funds'!$I$40="","",-FV('Part II-Sources of Funds'!$K$40/12,12,H26/12,G40))</f>
        <v>474685.28511337069</v>
      </c>
      <c r="I40" s="232">
        <f>IF('Part II-Sources of Funds'!$I$40="","",-FV('Part II-Sources of Funds'!$K$40/12,12,I26/12,H40))</f>
        <v>465447.55676239333</v>
      </c>
      <c r="J40" s="232">
        <f>IF('Part II-Sources of Funds'!$I$40="","",-FV('Part II-Sources of Funds'!$K$40/12,12,J26/12,I40))</f>
        <v>455591.16063545464</v>
      </c>
      <c r="K40" s="232">
        <f>IF('Part II-Sources of Funds'!$I$40="","",-FV('Part II-Sources of Funds'!$K$40/12,12,K26/12,J40))</f>
        <v>445074.66340582416</v>
      </c>
      <c r="N40" s="3864"/>
      <c r="O40" s="3866"/>
      <c r="Q40" s="958">
        <v>20</v>
      </c>
      <c r="R40" s="1105">
        <f>-SUM(B32:K32) - SUM(B64:K64)</f>
        <v>20197</v>
      </c>
      <c r="S40" s="1105">
        <f>SUM(B33:K33) + SUM(B65:K65)+R40</f>
        <v>193177.00652033457</v>
      </c>
      <c r="Z40" s="2259" t="s">
        <v>6466</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6466</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6466</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6466</v>
      </c>
      <c r="AA43" s="2262">
        <v>43</v>
      </c>
    </row>
    <row r="44" spans="1:27" ht="13.35" customHeight="1">
      <c r="A44" s="447" t="s">
        <v>3364</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6466</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35" customHeight="1">
      <c r="A47" s="18" t="s">
        <v>2216</v>
      </c>
      <c r="B47" s="19">
        <f t="shared" ref="B47:K47" si="17">$B$15*(1+$B$6)^(B46-1)</f>
        <v>384641.49928514566</v>
      </c>
      <c r="C47" s="19">
        <f t="shared" si="17"/>
        <v>392334.32927084848</v>
      </c>
      <c r="D47" s="19">
        <f t="shared" si="17"/>
        <v>400181.01585626556</v>
      </c>
      <c r="E47" s="19">
        <f t="shared" si="17"/>
        <v>408184.63617339084</v>
      </c>
      <c r="F47" s="19">
        <f t="shared" si="17"/>
        <v>416348.32889685867</v>
      </c>
      <c r="G47" s="19">
        <f t="shared" si="17"/>
        <v>424675.29547479574</v>
      </c>
      <c r="H47" s="19">
        <f t="shared" si="17"/>
        <v>433168.80138429173</v>
      </c>
      <c r="I47" s="19">
        <f t="shared" si="17"/>
        <v>441832.17741197761</v>
      </c>
      <c r="J47" s="19">
        <f t="shared" si="17"/>
        <v>450668.8209602171</v>
      </c>
      <c r="K47" s="20">
        <f t="shared" si="17"/>
        <v>459682.19737942144</v>
      </c>
      <c r="N47" s="3870"/>
      <c r="O47" s="3872"/>
      <c r="Z47" s="2259" t="s">
        <v>6467</v>
      </c>
      <c r="AA47" s="2261">
        <v>47</v>
      </c>
    </row>
    <row r="48" spans="1:27" ht="13.35" customHeight="1">
      <c r="A48" s="21" t="s">
        <v>953</v>
      </c>
      <c r="B48" s="22">
        <f t="shared" ref="B48:K48" si="18">$B$16*(1+$B$6)^(B46-1)</f>
        <v>7692.8299857029133</v>
      </c>
      <c r="C48" s="22">
        <f t="shared" si="18"/>
        <v>7846.68658541697</v>
      </c>
      <c r="D48" s="22">
        <f t="shared" si="18"/>
        <v>8003.620317125311</v>
      </c>
      <c r="E48" s="22">
        <f t="shared" si="18"/>
        <v>8163.6927234678169</v>
      </c>
      <c r="F48" s="22">
        <f t="shared" si="18"/>
        <v>8326.9665779371735</v>
      </c>
      <c r="G48" s="22">
        <f t="shared" si="18"/>
        <v>8493.5059094959142</v>
      </c>
      <c r="H48" s="22">
        <f t="shared" si="18"/>
        <v>8663.3760276858338</v>
      </c>
      <c r="I48" s="22">
        <f t="shared" si="18"/>
        <v>8836.6435482395518</v>
      </c>
      <c r="J48" s="22">
        <f t="shared" si="18"/>
        <v>9013.3764192043418</v>
      </c>
      <c r="K48" s="23">
        <f t="shared" si="18"/>
        <v>9193.643947588429</v>
      </c>
      <c r="N48" s="3864"/>
      <c r="O48" s="3866"/>
      <c r="Z48" s="2259" t="s">
        <v>6467</v>
      </c>
      <c r="AA48" s="2262">
        <v>48</v>
      </c>
    </row>
    <row r="49" spans="1:27" ht="13.35" customHeight="1">
      <c r="A49" s="21" t="s">
        <v>2217</v>
      </c>
      <c r="B49" s="22">
        <f t="shared" ref="B49:K49" si="19">-(B47+B48)*$B$9</f>
        <v>-27463.403048959404</v>
      </c>
      <c r="C49" s="22">
        <f t="shared" si="19"/>
        <v>-28012.671109938583</v>
      </c>
      <c r="D49" s="22">
        <f t="shared" si="19"/>
        <v>-28572.92453213736</v>
      </c>
      <c r="E49" s="22">
        <f t="shared" si="19"/>
        <v>-29144.383022780108</v>
      </c>
      <c r="F49" s="22">
        <f t="shared" si="19"/>
        <v>-29727.270683235714</v>
      </c>
      <c r="G49" s="22">
        <f t="shared" si="19"/>
        <v>-30321.81609690042</v>
      </c>
      <c r="H49" s="22">
        <f t="shared" si="19"/>
        <v>-30928.25241883843</v>
      </c>
      <c r="I49" s="22">
        <f t="shared" si="19"/>
        <v>-31546.817467215205</v>
      </c>
      <c r="J49" s="22">
        <f t="shared" si="19"/>
        <v>-32177.753816559503</v>
      </c>
      <c r="K49" s="23">
        <f t="shared" si="19"/>
        <v>-32821.308892890695</v>
      </c>
      <c r="N49" s="3864"/>
      <c r="O49" s="3866"/>
      <c r="Z49" s="2259" t="s">
        <v>6467</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6467</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6467</v>
      </c>
      <c r="AA51" s="2262">
        <v>51</v>
      </c>
    </row>
    <row r="52" spans="1:27" ht="13.35" customHeight="1">
      <c r="A52" s="447" t="s">
        <v>3841</v>
      </c>
      <c r="B52" s="22">
        <f t="shared" ref="B52:K52" si="20">SUM(B47:B51)</f>
        <v>364870.92622188921</v>
      </c>
      <c r="C52" s="22">
        <f t="shared" si="20"/>
        <v>372168.34474632685</v>
      </c>
      <c r="D52" s="22">
        <f t="shared" si="20"/>
        <v>379611.7116412535</v>
      </c>
      <c r="E52" s="22">
        <f t="shared" si="20"/>
        <v>387203.94587407855</v>
      </c>
      <c r="F52" s="22">
        <f t="shared" si="20"/>
        <v>394948.02479156014</v>
      </c>
      <c r="G52" s="22">
        <f t="shared" si="20"/>
        <v>402846.98528739123</v>
      </c>
      <c r="H52" s="22">
        <f t="shared" si="20"/>
        <v>410903.92499313911</v>
      </c>
      <c r="I52" s="22">
        <f t="shared" si="20"/>
        <v>419122.00349300198</v>
      </c>
      <c r="J52" s="22">
        <f t="shared" si="20"/>
        <v>427504.44356286194</v>
      </c>
      <c r="K52" s="23">
        <f t="shared" si="20"/>
        <v>436054.5324341192</v>
      </c>
      <c r="N52" s="3864"/>
      <c r="O52" s="3866"/>
      <c r="Z52" s="2259" t="s">
        <v>6467</v>
      </c>
      <c r="AA52" s="2263">
        <v>52</v>
      </c>
    </row>
    <row r="53" spans="1:27" ht="13.35" customHeight="1">
      <c r="A53" s="21" t="s">
        <v>572</v>
      </c>
      <c r="B53" s="22">
        <f t="shared" ref="B53:K53" si="21">$B$21*(1+$B$7)^(B46-1)</f>
        <v>-261618.85765054086</v>
      </c>
      <c r="C53" s="22">
        <f t="shared" si="21"/>
        <v>-269467.42338005709</v>
      </c>
      <c r="D53" s="22">
        <f t="shared" si="21"/>
        <v>-277551.44608145877</v>
      </c>
      <c r="E53" s="22">
        <f t="shared" si="21"/>
        <v>-285877.98946390249</v>
      </c>
      <c r="F53" s="22">
        <f t="shared" si="21"/>
        <v>-294454.3291478196</v>
      </c>
      <c r="G53" s="22">
        <f t="shared" si="21"/>
        <v>-303287.95902225422</v>
      </c>
      <c r="H53" s="22">
        <f t="shared" si="21"/>
        <v>-312386.59779292176</v>
      </c>
      <c r="I53" s="22">
        <f t="shared" si="21"/>
        <v>-321758.19572670944</v>
      </c>
      <c r="J53" s="22">
        <f t="shared" si="21"/>
        <v>-331410.94159851072</v>
      </c>
      <c r="K53" s="23">
        <f t="shared" si="21"/>
        <v>-341353.26984646602</v>
      </c>
      <c r="N53" s="3864"/>
      <c r="O53" s="3866"/>
      <c r="Z53" s="2259" t="s">
        <v>6467</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-29674</v>
      </c>
      <c r="C54" s="22">
        <f>IF(AND('Part VI-Pro Forma'!$G$9="Yes",'Part VI-Pro Forma'!$G$10="Yes"),"Choose One!",IF('Part VI-Pro Forma'!$G$9="Yes",ROUND((-$K$9*(1+'Part VI-Pro Forma'!$B$7)^('Part VI-Pro Forma'!C46-1)),),IF('Part VI-Pro Forma'!$G$10="Yes",ROUND((-(SUM(C47:C50)*'Part VI-Pro Forma'!$K$10)),),"Choose mgt fee")))</f>
        <v>-30564</v>
      </c>
      <c r="D54" s="22">
        <f>IF(AND('Part VI-Pro Forma'!$G$9="Yes",'Part VI-Pro Forma'!$G$10="Yes"),"Choose One!",IF('Part VI-Pro Forma'!$G$9="Yes",ROUND((-$K$9*(1+'Part VI-Pro Forma'!$B$7)^('Part VI-Pro Forma'!D46-1)),),IF('Part VI-Pro Forma'!$G$10="Yes",ROUND((-(SUM(D47:D50)*'Part VI-Pro Forma'!$K$10)),),"Choose mgt fee")))</f>
        <v>-31481</v>
      </c>
      <c r="E54" s="22">
        <f>IF(AND('Part VI-Pro Forma'!$G$9="Yes",'Part VI-Pro Forma'!$G$10="Yes"),"Choose One!",IF('Part VI-Pro Forma'!$G$9="Yes",ROUND((-$K$9*(1+'Part VI-Pro Forma'!$B$7)^('Part VI-Pro Forma'!E46-1)),),IF('Part VI-Pro Forma'!$G$10="Yes",ROUND((-(SUM(E47:E50)*'Part VI-Pro Forma'!$K$10)),),"Choose mgt fee")))</f>
        <v>-32425</v>
      </c>
      <c r="F54" s="22">
        <f>IF(AND('Part VI-Pro Forma'!$G$9="Yes",'Part VI-Pro Forma'!$G$10="Yes"),"Choose One!",IF('Part VI-Pro Forma'!$G$9="Yes",ROUND((-$K$9*(1+'Part VI-Pro Forma'!$B$7)^('Part VI-Pro Forma'!F46-1)),),IF('Part VI-Pro Forma'!$G$10="Yes",ROUND((-(SUM(F47:F50)*'Part VI-Pro Forma'!$K$10)),),"Choose mgt fee")))</f>
        <v>-33398</v>
      </c>
      <c r="G54" s="22">
        <f>IF(AND('Part VI-Pro Forma'!$G$9="Yes",'Part VI-Pro Forma'!$G$10="Yes"),"Choose One!",IF('Part VI-Pro Forma'!$G$9="Yes",ROUND((-$K$9*(1+'Part VI-Pro Forma'!$B$7)^('Part VI-Pro Forma'!G46-1)),),IF('Part VI-Pro Forma'!$G$10="Yes",ROUND((-(SUM(G47:G50)*'Part VI-Pro Forma'!$K$10)),),"Choose mgt fee")))</f>
        <v>-34400</v>
      </c>
      <c r="H54" s="22">
        <f>IF(AND('Part VI-Pro Forma'!$G$9="Yes",'Part VI-Pro Forma'!$G$10="Yes"),"Choose One!",IF('Part VI-Pro Forma'!$G$9="Yes",ROUND((-$K$9*(1+'Part VI-Pro Forma'!$B$7)^('Part VI-Pro Forma'!H46-1)),),IF('Part VI-Pro Forma'!$G$10="Yes",ROUND((-(SUM(H47:H50)*'Part VI-Pro Forma'!$K$10)),),"Choose mgt fee")))</f>
        <v>-35432</v>
      </c>
      <c r="I54" s="22">
        <f>IF(AND('Part VI-Pro Forma'!$G$9="Yes",'Part VI-Pro Forma'!$G$10="Yes"),"Choose One!",IF('Part VI-Pro Forma'!$G$9="Yes",ROUND((-$K$9*(1+'Part VI-Pro Forma'!$B$7)^('Part VI-Pro Forma'!I46-1)),),IF('Part VI-Pro Forma'!$G$10="Yes",ROUND((-(SUM(I47:I50)*'Part VI-Pro Forma'!$K$10)),),"Choose mgt fee")))</f>
        <v>-36495</v>
      </c>
      <c r="J54" s="22">
        <f>IF(AND('Part VI-Pro Forma'!$G$9="Yes",'Part VI-Pro Forma'!$G$10="Yes"),"Choose One!",IF('Part VI-Pro Forma'!$G$9="Yes",ROUND((-$K$9*(1+'Part VI-Pro Forma'!$B$7)^('Part VI-Pro Forma'!J46-1)),),IF('Part VI-Pro Forma'!$G$10="Yes",ROUND((-(SUM(J47:J50)*'Part VI-Pro Forma'!$K$10)),),"Choose mgt fee")))</f>
        <v>-37590</v>
      </c>
      <c r="K54" s="23">
        <f>IF(AND('Part VI-Pro Forma'!$G$9="Yes",'Part VI-Pro Forma'!$G$10="Yes"),"Choose One!",IF('Part VI-Pro Forma'!$G$9="Yes",ROUND((-$K$9*(1+'Part VI-Pro Forma'!$B$7)^('Part VI-Pro Forma'!K46-1)),),IF('Part VI-Pro Forma'!$G$10="Yes",ROUND((-(SUM(K47:K50)*'Part VI-Pro Forma'!$K$10)),),"Choose mgt fee")))</f>
        <v>-38717</v>
      </c>
      <c r="N54" s="3864"/>
      <c r="O54" s="3866"/>
      <c r="Z54" s="2259" t="s">
        <v>6467</v>
      </c>
      <c r="AA54" s="2263">
        <v>54</v>
      </c>
    </row>
    <row r="55" spans="1:27" ht="13.35" customHeight="1">
      <c r="A55" s="21" t="s">
        <v>1129</v>
      </c>
      <c r="B55" s="22">
        <f t="shared" ref="B55:K55" si="22">$B$23*(1+$B$8)^(B46-1)</f>
        <v>-15455.038362457401</v>
      </c>
      <c r="C55" s="22">
        <f t="shared" si="22"/>
        <v>-15918.689513331123</v>
      </c>
      <c r="D55" s="22">
        <f t="shared" si="22"/>
        <v>-16396.250198731053</v>
      </c>
      <c r="E55" s="22">
        <f t="shared" si="22"/>
        <v>-16888.137704692985</v>
      </c>
      <c r="F55" s="22">
        <f t="shared" si="22"/>
        <v>-17394.781835833775</v>
      </c>
      <c r="G55" s="22">
        <f t="shared" si="22"/>
        <v>-17916.625290908793</v>
      </c>
      <c r="H55" s="22">
        <f t="shared" si="22"/>
        <v>-18454.124049636051</v>
      </c>
      <c r="I55" s="22">
        <f t="shared" si="22"/>
        <v>-19007.747771125134</v>
      </c>
      <c r="J55" s="22">
        <f t="shared" si="22"/>
        <v>-19577.980204258889</v>
      </c>
      <c r="K55" s="23">
        <f t="shared" si="22"/>
        <v>-20165.319610386654</v>
      </c>
      <c r="N55" s="3864"/>
      <c r="O55" s="3866"/>
      <c r="Q55" s="958"/>
      <c r="R55" s="1105"/>
      <c r="S55" s="1105"/>
      <c r="Z55" s="2259" t="s">
        <v>6467</v>
      </c>
      <c r="AA55" s="2263">
        <v>55</v>
      </c>
    </row>
    <row r="56" spans="1:27" ht="13.35" customHeight="1">
      <c r="A56" s="447" t="s">
        <v>3840</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6467</v>
      </c>
      <c r="AA56" s="2263">
        <v>56</v>
      </c>
    </row>
    <row r="57" spans="1:27" ht="13.35" customHeight="1">
      <c r="A57" s="21" t="s">
        <v>1130</v>
      </c>
      <c r="B57" s="22">
        <f t="shared" ref="B57:K57" si="23">SUM(B52:B56)</f>
        <v>58123.030208890952</v>
      </c>
      <c r="C57" s="22">
        <f t="shared" si="23"/>
        <v>56218.231852938639</v>
      </c>
      <c r="D57" s="22">
        <f t="shared" si="23"/>
        <v>54183.015361063677</v>
      </c>
      <c r="E57" s="22">
        <f t="shared" si="23"/>
        <v>52012.818705483078</v>
      </c>
      <c r="F57" s="22">
        <f t="shared" si="23"/>
        <v>49700.913807906756</v>
      </c>
      <c r="G57" s="22">
        <f t="shared" si="23"/>
        <v>47242.400974228221</v>
      </c>
      <c r="H57" s="22">
        <f t="shared" si="23"/>
        <v>44631.203150581292</v>
      </c>
      <c r="I57" s="22">
        <f t="shared" si="23"/>
        <v>41861.059995167401</v>
      </c>
      <c r="J57" s="22">
        <f t="shared" si="23"/>
        <v>38925.521760092335</v>
      </c>
      <c r="K57" s="1538">
        <f t="shared" si="23"/>
        <v>35818.942977266532</v>
      </c>
      <c r="N57" s="3864"/>
      <c r="O57" s="3866"/>
      <c r="Z57" s="2259" t="s">
        <v>6467</v>
      </c>
      <c r="AA57" s="2263">
        <v>57</v>
      </c>
    </row>
    <row r="58" spans="1:27" ht="13.35" customHeight="1">
      <c r="A58" s="21" t="str">
        <f>$A26</f>
        <v>Mortgage A</v>
      </c>
      <c r="B58" s="448">
        <f>IF('Part II-Sources of Funds'!$P$40="", 0,-'Part II-Sources of Funds'!$P$40)</f>
        <v>-39820.285480056715</v>
      </c>
      <c r="C58" s="448">
        <f>IF('Part II-Sources of Funds'!$P$40="", 0,-'Part II-Sources of Funds'!$P$40)</f>
        <v>-39820.285480056715</v>
      </c>
      <c r="D58" s="448">
        <f>IF('Part II-Sources of Funds'!$P$40="", 0,-'Part II-Sources of Funds'!$P$40)</f>
        <v>-39820.285480056715</v>
      </c>
      <c r="E58" s="448">
        <f>IF('Part II-Sources of Funds'!$P$40="", 0,-'Part II-Sources of Funds'!$P$40)</f>
        <v>-39820.285480056715</v>
      </c>
      <c r="F58" s="448">
        <f>IF('Part II-Sources of Funds'!$P$40="", 0,-'Part II-Sources of Funds'!$P$40)</f>
        <v>-39820.285480056715</v>
      </c>
      <c r="G58" s="448">
        <f>IF('Part II-Sources of Funds'!$P$40="", 0,-'Part II-Sources of Funds'!$P$40)</f>
        <v>-39820.285480056715</v>
      </c>
      <c r="H58" s="448">
        <f>IF('Part II-Sources of Funds'!$P$40="", 0,-'Part II-Sources of Funds'!$P$40)</f>
        <v>-39820.285480056715</v>
      </c>
      <c r="I58" s="448">
        <f>IF('Part II-Sources of Funds'!$P$40="", 0,-'Part II-Sources of Funds'!$P$40)</f>
        <v>-39820.285480056715</v>
      </c>
      <c r="J58" s="448">
        <f>IF('Part II-Sources of Funds'!$P$40="", 0,-'Part II-Sources of Funds'!$P$40)</f>
        <v>-39820.285480056715</v>
      </c>
      <c r="K58" s="448">
        <f>IF('Part II-Sources of Funds'!$P$40="", 0,-'Part II-Sources of Funds'!$P$40)</f>
        <v>-39820.285480056715</v>
      </c>
      <c r="N58" s="3864"/>
      <c r="O58" s="3866"/>
      <c r="Z58" s="2259" t="s">
        <v>6467</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6467</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6467</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6467</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6467</v>
      </c>
      <c r="AA62" s="2263">
        <v>62</v>
      </c>
    </row>
    <row r="63" spans="1:27" ht="13.35" customHeight="1">
      <c r="A63" s="447" t="s">
        <v>1096</v>
      </c>
      <c r="B63" s="233">
        <f>+K31</f>
        <v>-7500</v>
      </c>
      <c r="C63" s="233">
        <f t="shared" ref="C63:K63" si="24">+B63</f>
        <v>-7500</v>
      </c>
      <c r="D63" s="233">
        <f t="shared" si="24"/>
        <v>-7500</v>
      </c>
      <c r="E63" s="233">
        <f t="shared" si="24"/>
        <v>-7500</v>
      </c>
      <c r="F63" s="233">
        <f t="shared" si="24"/>
        <v>-7500</v>
      </c>
      <c r="G63" s="233">
        <f t="shared" si="24"/>
        <v>-7500</v>
      </c>
      <c r="H63" s="233">
        <f t="shared" si="24"/>
        <v>-7500</v>
      </c>
      <c r="I63" s="233">
        <f t="shared" si="24"/>
        <v>-7500</v>
      </c>
      <c r="J63" s="233">
        <f t="shared" si="24"/>
        <v>-7500</v>
      </c>
      <c r="K63" s="233">
        <f t="shared" si="24"/>
        <v>-7500</v>
      </c>
      <c r="N63" s="3864"/>
      <c r="O63" s="3866"/>
      <c r="Z63" s="2259" t="s">
        <v>6467</v>
      </c>
      <c r="AA63" s="2263">
        <v>63</v>
      </c>
    </row>
    <row r="64" spans="1:27" ht="13.35" customHeight="1">
      <c r="A64" s="447" t="s">
        <v>3363</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9" t="s">
        <v>6467</v>
      </c>
      <c r="AA64" s="2263">
        <v>64</v>
      </c>
    </row>
    <row r="65" spans="1:27" ht="13.35" customHeight="1">
      <c r="A65" s="21" t="s">
        <v>1097</v>
      </c>
      <c r="B65" s="22">
        <f t="shared" ref="B65:K65" si="25">SUM(B57:B64)</f>
        <v>10802.744728834237</v>
      </c>
      <c r="C65" s="22">
        <f t="shared" si="25"/>
        <v>8897.9463728819246</v>
      </c>
      <c r="D65" s="22">
        <f t="shared" si="25"/>
        <v>6862.7298810069624</v>
      </c>
      <c r="E65" s="22">
        <f t="shared" si="25"/>
        <v>4692.5332254263631</v>
      </c>
      <c r="F65" s="22">
        <f t="shared" si="25"/>
        <v>2380.6283278500414</v>
      </c>
      <c r="G65" s="22">
        <f t="shared" si="25"/>
        <v>-77.884505828493275</v>
      </c>
      <c r="H65" s="22">
        <f t="shared" si="25"/>
        <v>-2689.0823294754227</v>
      </c>
      <c r="I65" s="22">
        <f t="shared" si="25"/>
        <v>-5459.2254848893135</v>
      </c>
      <c r="J65" s="22">
        <f t="shared" si="25"/>
        <v>-8394.7637199643796</v>
      </c>
      <c r="K65" s="642">
        <f t="shared" si="25"/>
        <v>-11501.342502790183</v>
      </c>
      <c r="N65" s="3864"/>
      <c r="O65" s="3866"/>
      <c r="Z65" s="2259" t="s">
        <v>6467</v>
      </c>
      <c r="AA65" s="2263">
        <v>65</v>
      </c>
    </row>
    <row r="66" spans="1:27" ht="13.35" customHeight="1">
      <c r="A66" s="21" t="str">
        <f>$A34</f>
        <v>DCR Mortgage A</v>
      </c>
      <c r="B66" s="24">
        <f t="shared" ref="B66:K66" si="26">IF(B58=0,"",-B57/B58)</f>
        <v>1.4596336894169391</v>
      </c>
      <c r="C66" s="24">
        <f t="shared" si="26"/>
        <v>1.411798814980735</v>
      </c>
      <c r="D66" s="24">
        <f t="shared" si="26"/>
        <v>1.3606887722640835</v>
      </c>
      <c r="E66" s="24">
        <f t="shared" si="26"/>
        <v>1.3061889958456672</v>
      </c>
      <c r="F66" s="24">
        <f t="shared" si="26"/>
        <v>1.2481305246492664</v>
      </c>
      <c r="G66" s="24">
        <f t="shared" si="26"/>
        <v>1.1863903134970928</v>
      </c>
      <c r="H66" s="24">
        <f t="shared" si="26"/>
        <v>1.1208157503776319</v>
      </c>
      <c r="I66" s="24">
        <f t="shared" si="26"/>
        <v>1.051249620400958</v>
      </c>
      <c r="J66" s="24">
        <f t="shared" si="26"/>
        <v>0.97752995215434846</v>
      </c>
      <c r="K66" s="25">
        <f t="shared" si="26"/>
        <v>0.89951497196587948</v>
      </c>
      <c r="N66" s="3864"/>
      <c r="O66" s="3866"/>
      <c r="Z66" s="2259" t="s">
        <v>6467</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4"/>
      <c r="O67" s="3866"/>
      <c r="Z67" s="2259" t="s">
        <v>6467</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4"/>
      <c r="O68" s="3866"/>
      <c r="Z68" s="2259" t="s">
        <v>6467</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4"/>
      <c r="O69" s="3866"/>
      <c r="Z69" s="2259" t="s">
        <v>6467</v>
      </c>
      <c r="AA69" s="2262">
        <v>69</v>
      </c>
    </row>
    <row r="70" spans="1:27" ht="13.35" customHeight="1">
      <c r="A70" s="447" t="s">
        <v>3216</v>
      </c>
      <c r="B70" s="24">
        <f t="shared" ref="B70:K70" si="30">IF(AND(B58=0,B59=0,B60=0,B61=0),"",-B57/(B58+B59+B60+B61))</f>
        <v>1.4596336894169391</v>
      </c>
      <c r="C70" s="24">
        <f t="shared" si="30"/>
        <v>1.411798814980735</v>
      </c>
      <c r="D70" s="24">
        <f t="shared" si="30"/>
        <v>1.3606887722640835</v>
      </c>
      <c r="E70" s="24">
        <f t="shared" si="30"/>
        <v>1.3061889958456672</v>
      </c>
      <c r="F70" s="24">
        <f t="shared" si="30"/>
        <v>1.2481305246492664</v>
      </c>
      <c r="G70" s="24">
        <f t="shared" si="30"/>
        <v>1.1863903134970928</v>
      </c>
      <c r="H70" s="24">
        <f t="shared" si="30"/>
        <v>1.1208157503776319</v>
      </c>
      <c r="I70" s="24">
        <f t="shared" si="30"/>
        <v>1.051249620400958</v>
      </c>
      <c r="J70" s="24">
        <f t="shared" si="30"/>
        <v>0.97752995215434846</v>
      </c>
      <c r="K70" s="25">
        <f t="shared" si="30"/>
        <v>0.89951497196587948</v>
      </c>
      <c r="N70" s="3864"/>
      <c r="O70" s="3866"/>
      <c r="Z70" s="2259" t="s">
        <v>6467</v>
      </c>
      <c r="AA70" s="2263">
        <v>70</v>
      </c>
    </row>
    <row r="71" spans="1:27" ht="13.35" customHeight="1">
      <c r="A71" s="21" t="s">
        <v>718</v>
      </c>
      <c r="B71" s="288">
        <f t="shared" ref="B71:K71" si="31">IF(OR(B54="Choose mgt fee",B54="Choose One!"),"",(B47+B48+B49+B50+B51) / -(B53+B54+B55))</f>
        <v>1.1894814307265142</v>
      </c>
      <c r="C71" s="288">
        <f t="shared" si="31"/>
        <v>1.1779338875308727</v>
      </c>
      <c r="D71" s="288">
        <f t="shared" si="31"/>
        <v>1.1664973494359969</v>
      </c>
      <c r="E71" s="288">
        <f t="shared" si="31"/>
        <v>1.1551736143639673</v>
      </c>
      <c r="F71" s="288">
        <f t="shared" si="31"/>
        <v>1.1439575081926172</v>
      </c>
      <c r="G71" s="288">
        <f t="shared" si="31"/>
        <v>1.1328509334756613</v>
      </c>
      <c r="H71" s="288">
        <f t="shared" si="31"/>
        <v>1.1218523807234708</v>
      </c>
      <c r="I71" s="288">
        <f t="shared" si="31"/>
        <v>1.1109604922445615</v>
      </c>
      <c r="J71" s="288">
        <f t="shared" si="31"/>
        <v>1.1001740433564993</v>
      </c>
      <c r="K71" s="289">
        <f t="shared" si="31"/>
        <v>1.0894946474547036</v>
      </c>
      <c r="N71" s="3864"/>
      <c r="O71" s="3866"/>
      <c r="Z71" s="2259" t="s">
        <v>6467</v>
      </c>
      <c r="AA71" s="2263">
        <v>71</v>
      </c>
    </row>
    <row r="72" spans="1:27" ht="13.35" customHeight="1">
      <c r="A72" s="447" t="s">
        <v>2406</v>
      </c>
      <c r="B72" s="232">
        <f>IF('Part II-Sources of Funds'!$I$40="","",-FV('Part II-Sources of Funds'!$K$40/12,12,B58/12,K40))</f>
        <v>433853.85688014573</v>
      </c>
      <c r="C72" s="232">
        <f>IF('Part II-Sources of Funds'!$I$40="","",-FV('Part II-Sources of Funds'!$K$40/12,12,C58/12,B72))</f>
        <v>421881.57216048037</v>
      </c>
      <c r="D72" s="232">
        <f>IF('Part II-Sources of Funds'!$I$40="","",-FV('Part II-Sources of Funds'!$K$40/12,12,D58/12,C72))</f>
        <v>409107.48136043729</v>
      </c>
      <c r="E72" s="232">
        <f>IF('Part II-Sources of Funds'!$I$40="","",-FV('Part II-Sources of Funds'!$K$40/12,12,E58/12,D72))</f>
        <v>395477.88604186667</v>
      </c>
      <c r="F72" s="232">
        <f>IF('Part II-Sources of Funds'!$I$40="","",-FV('Part II-Sources of Funds'!$K$40/12,12,F58/12,E72))</f>
        <v>380935.49148276617</v>
      </c>
      <c r="G72" s="232">
        <f>IF('Part II-Sources of Funds'!$I$40="","",-FV('Part II-Sources of Funds'!$K$40/12,12,G58/12,F72))</f>
        <v>365419.16582749103</v>
      </c>
      <c r="H72" s="232">
        <f>IF('Part II-Sources of Funds'!$I$40="","",-FV('Part II-Sources of Funds'!$K$40/12,12,H58/12,G72))</f>
        <v>348863.68310680753</v>
      </c>
      <c r="I72" s="232">
        <f>IF('Part II-Sources of Funds'!$I$40="","",-FV('Part II-Sources of Funds'!$K$40/12,12,I58/12,H72))</f>
        <v>331199.44904752373</v>
      </c>
      <c r="J72" s="232">
        <f>IF('Part II-Sources of Funds'!$I$40="","",-FV('Part II-Sources of Funds'!$K$40/12,12,J58/12,I72))</f>
        <v>312352.20851908333</v>
      </c>
      <c r="K72" s="232">
        <f>IF('Part II-Sources of Funds'!$I$40="","",-FV('Part II-Sources of Funds'!$K$40/12,12,K58/12,J72))</f>
        <v>292242.73338731588</v>
      </c>
      <c r="N72" s="3864"/>
      <c r="O72" s="3866"/>
      <c r="Z72" s="2259" t="s">
        <v>6467</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6467</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6467</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6467</v>
      </c>
      <c r="AA75" s="2263">
        <v>75</v>
      </c>
    </row>
    <row r="76" spans="1:27" ht="13.35" customHeight="1">
      <c r="A76" s="447" t="s">
        <v>3364</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6467</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2411</v>
      </c>
      <c r="O78" s="3499"/>
      <c r="AA78" s="2263">
        <v>78</v>
      </c>
    </row>
    <row r="79" spans="1:27" ht="13.35" customHeight="1">
      <c r="A79" s="18" t="s">
        <v>2216</v>
      </c>
      <c r="B79" s="19">
        <f t="shared" ref="B79:K79" si="33">$B$15*(1+$B$6)^(B78-1)</f>
        <v>468875.8413270099</v>
      </c>
      <c r="C79" s="19">
        <f t="shared" si="33"/>
        <v>478253.35815355007</v>
      </c>
      <c r="D79" s="19">
        <f t="shared" si="33"/>
        <v>487818.42531662108</v>
      </c>
      <c r="E79" s="19">
        <f t="shared" si="33"/>
        <v>497574.79382295342</v>
      </c>
      <c r="F79" s="19">
        <f t="shared" si="33"/>
        <v>507526.28969941253</v>
      </c>
      <c r="G79" s="19">
        <f t="shared" si="33"/>
        <v>517676.81549340073</v>
      </c>
      <c r="H79" s="19">
        <f t="shared" si="33"/>
        <v>528030.35180326889</v>
      </c>
      <c r="I79" s="19">
        <f t="shared" si="33"/>
        <v>538590.95883933408</v>
      </c>
      <c r="J79" s="19">
        <f t="shared" si="33"/>
        <v>549362.77801612089</v>
      </c>
      <c r="K79" s="20">
        <f t="shared" si="33"/>
        <v>560350.03357644321</v>
      </c>
      <c r="N79" s="3870"/>
      <c r="O79" s="3872"/>
      <c r="Z79" s="2259" t="s">
        <v>6468</v>
      </c>
      <c r="AA79" s="2263">
        <v>79</v>
      </c>
    </row>
    <row r="80" spans="1:27" ht="13.35" customHeight="1">
      <c r="A80" s="21" t="s">
        <v>953</v>
      </c>
      <c r="B80" s="22">
        <f t="shared" ref="B80:K80" si="34">$B$16*(1+$B$6)^(B78-1)</f>
        <v>9377.516826540199</v>
      </c>
      <c r="C80" s="22">
        <f t="shared" si="34"/>
        <v>9565.0671630710021</v>
      </c>
      <c r="D80" s="22">
        <f t="shared" si="34"/>
        <v>9756.3685063324228</v>
      </c>
      <c r="E80" s="22">
        <f t="shared" si="34"/>
        <v>9951.4958764590683</v>
      </c>
      <c r="F80" s="22">
        <f t="shared" si="34"/>
        <v>10150.52579398825</v>
      </c>
      <c r="G80" s="22">
        <f t="shared" si="34"/>
        <v>10353.536309868015</v>
      </c>
      <c r="H80" s="22">
        <f t="shared" si="34"/>
        <v>10560.607036065378</v>
      </c>
      <c r="I80" s="22">
        <f t="shared" si="34"/>
        <v>10771.819176786683</v>
      </c>
      <c r="J80" s="22">
        <f t="shared" si="34"/>
        <v>10987.255560322419</v>
      </c>
      <c r="K80" s="23">
        <f t="shared" si="34"/>
        <v>11207.000671528865</v>
      </c>
      <c r="N80" s="3864"/>
      <c r="O80" s="3866"/>
      <c r="Z80" s="2259" t="s">
        <v>6468</v>
      </c>
      <c r="AA80" s="2263">
        <v>80</v>
      </c>
    </row>
    <row r="81" spans="1:27" ht="13.35" customHeight="1">
      <c r="A81" s="21" t="s">
        <v>2217</v>
      </c>
      <c r="B81" s="22">
        <f t="shared" ref="B81:K81" si="35">-(B79+B80)*$B$9</f>
        <v>-33477.735070748509</v>
      </c>
      <c r="C81" s="22">
        <f t="shared" si="35"/>
        <v>-34147.28977216348</v>
      </c>
      <c r="D81" s="22">
        <f t="shared" si="35"/>
        <v>-34830.235567606745</v>
      </c>
      <c r="E81" s="22">
        <f t="shared" si="35"/>
        <v>-35526.84027895888</v>
      </c>
      <c r="F81" s="22">
        <f t="shared" si="35"/>
        <v>-36237.377084538057</v>
      </c>
      <c r="G81" s="22">
        <f t="shared" si="35"/>
        <v>-36962.124626228819</v>
      </c>
      <c r="H81" s="22">
        <f t="shared" si="35"/>
        <v>-37701.367118753406</v>
      </c>
      <c r="I81" s="22">
        <f t="shared" si="35"/>
        <v>-38455.394461128461</v>
      </c>
      <c r="J81" s="22">
        <f t="shared" si="35"/>
        <v>-39224.502350351038</v>
      </c>
      <c r="K81" s="23">
        <f t="shared" si="35"/>
        <v>-40008.992397358052</v>
      </c>
      <c r="N81" s="3864"/>
      <c r="O81" s="3866"/>
      <c r="Z81" s="2259" t="s">
        <v>6468</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6468</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6468</v>
      </c>
      <c r="AA83" s="2262">
        <v>83</v>
      </c>
    </row>
    <row r="84" spans="1:27" ht="13.35" customHeight="1">
      <c r="A84" s="447" t="s">
        <v>3841</v>
      </c>
      <c r="B84" s="22">
        <f t="shared" ref="B84:K84" si="36">SUM(B79:B83)</f>
        <v>444775.62308280158</v>
      </c>
      <c r="C84" s="22">
        <f t="shared" si="36"/>
        <v>453671.13554445759</v>
      </c>
      <c r="D84" s="22">
        <f t="shared" si="36"/>
        <v>462744.55825534672</v>
      </c>
      <c r="E84" s="22">
        <f t="shared" si="36"/>
        <v>471999.44942045357</v>
      </c>
      <c r="F84" s="22">
        <f t="shared" si="36"/>
        <v>481439.43840886274</v>
      </c>
      <c r="G84" s="22">
        <f t="shared" si="36"/>
        <v>491068.22717703995</v>
      </c>
      <c r="H84" s="22">
        <f t="shared" si="36"/>
        <v>500889.59172058094</v>
      </c>
      <c r="I84" s="22">
        <f t="shared" si="36"/>
        <v>510907.38355499232</v>
      </c>
      <c r="J84" s="22">
        <f t="shared" si="36"/>
        <v>521125.53122609231</v>
      </c>
      <c r="K84" s="23">
        <f t="shared" si="36"/>
        <v>531548.04185061401</v>
      </c>
      <c r="N84" s="3864"/>
      <c r="O84" s="3866"/>
      <c r="Z84" s="2259" t="s">
        <v>6468</v>
      </c>
      <c r="AA84" s="2263">
        <v>84</v>
      </c>
    </row>
    <row r="85" spans="1:27" ht="13.35" customHeight="1">
      <c r="A85" s="21" t="s">
        <v>572</v>
      </c>
      <c r="B85" s="22">
        <f t="shared" ref="B85:K85" si="37">$B$21*(1+$B$7)^(B78-1)</f>
        <v>-351593.86794185999</v>
      </c>
      <c r="C85" s="22">
        <f t="shared" si="37"/>
        <v>-362141.68398011575</v>
      </c>
      <c r="D85" s="22">
        <f t="shared" si="37"/>
        <v>-373005.9344995193</v>
      </c>
      <c r="E85" s="22">
        <f t="shared" si="37"/>
        <v>-384196.11253450485</v>
      </c>
      <c r="F85" s="22">
        <f t="shared" si="37"/>
        <v>-395721.99591053999</v>
      </c>
      <c r="G85" s="22">
        <f t="shared" si="37"/>
        <v>-407593.65578785614</v>
      </c>
      <c r="H85" s="22">
        <f t="shared" si="37"/>
        <v>-419821.4654614919</v>
      </c>
      <c r="I85" s="22">
        <f t="shared" si="37"/>
        <v>-432416.10942533659</v>
      </c>
      <c r="J85" s="22">
        <f t="shared" si="37"/>
        <v>-445388.59270809672</v>
      </c>
      <c r="K85" s="23">
        <f t="shared" si="37"/>
        <v>-458750.25048933958</v>
      </c>
      <c r="N85" s="3864"/>
      <c r="O85" s="3866"/>
      <c r="Z85" s="2259" t="s">
        <v>6468</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-39879</v>
      </c>
      <c r="C86" s="22">
        <f>IF(AND('Part VI-Pro Forma'!$G$9="Yes",'Part VI-Pro Forma'!$G$10="Yes"),"Choose One!",IF('Part VI-Pro Forma'!$G$9="Yes",ROUND((-$K$9*(1+'Part VI-Pro Forma'!$B$7)^('Part VI-Pro Forma'!C78-1)),),IF('Part VI-Pro Forma'!$G$10="Yes",ROUND((-(SUM(C79:C82)*'Part VI-Pro Forma'!$K$10)),),"Choose mgt fee")))</f>
        <v>-41075</v>
      </c>
      <c r="D86" s="22">
        <f>IF(AND('Part VI-Pro Forma'!$G$9="Yes",'Part VI-Pro Forma'!$G$10="Yes"),"Choose One!",IF('Part VI-Pro Forma'!$G$9="Yes",ROUND((-$K$9*(1+'Part VI-Pro Forma'!$B$7)^('Part VI-Pro Forma'!D78-1)),),IF('Part VI-Pro Forma'!$G$10="Yes",ROUND((-(SUM(D79:D82)*'Part VI-Pro Forma'!$K$10)),),"Choose mgt fee")))</f>
        <v>-42308</v>
      </c>
      <c r="E86" s="22">
        <f>IF(AND('Part VI-Pro Forma'!$G$9="Yes",'Part VI-Pro Forma'!$G$10="Yes"),"Choose One!",IF('Part VI-Pro Forma'!$G$9="Yes",ROUND((-$K$9*(1+'Part VI-Pro Forma'!$B$7)^('Part VI-Pro Forma'!E78-1)),),IF('Part VI-Pro Forma'!$G$10="Yes",ROUND((-(SUM(E79:E82)*'Part VI-Pro Forma'!$K$10)),),"Choose mgt fee")))</f>
        <v>-43577</v>
      </c>
      <c r="F86" s="22">
        <f>IF(AND('Part VI-Pro Forma'!$G$9="Yes",'Part VI-Pro Forma'!$G$10="Yes"),"Choose One!",IF('Part VI-Pro Forma'!$G$9="Yes",ROUND((-$K$9*(1+'Part VI-Pro Forma'!$B$7)^('Part VI-Pro Forma'!F78-1)),),IF('Part VI-Pro Forma'!$G$10="Yes",ROUND((-(SUM(F79:F82)*'Part VI-Pro Forma'!$K$10)),),"Choose mgt fee")))</f>
        <v>-44884</v>
      </c>
      <c r="G86" s="22">
        <f>IF(AND('Part VI-Pro Forma'!$G$9="Yes",'Part VI-Pro Forma'!$G$10="Yes"),"Choose One!",IF('Part VI-Pro Forma'!$G$9="Yes",ROUND((-$K$9*(1+'Part VI-Pro Forma'!$B$7)^('Part VI-Pro Forma'!G78-1)),),IF('Part VI-Pro Forma'!$G$10="Yes",ROUND((-(SUM(G79:G82)*'Part VI-Pro Forma'!$K$10)),),"Choose mgt fee")))</f>
        <v>-46231</v>
      </c>
      <c r="H86" s="22">
        <f>IF(AND('Part VI-Pro Forma'!$G$9="Yes",'Part VI-Pro Forma'!$G$10="Yes"),"Choose One!",IF('Part VI-Pro Forma'!$G$9="Yes",ROUND((-$K$9*(1+'Part VI-Pro Forma'!$B$7)^('Part VI-Pro Forma'!H78-1)),),IF('Part VI-Pro Forma'!$G$10="Yes",ROUND((-(SUM(H79:H82)*'Part VI-Pro Forma'!$K$10)),),"Choose mgt fee")))</f>
        <v>-47618</v>
      </c>
      <c r="I86" s="22">
        <f>IF(AND('Part VI-Pro Forma'!$G$9="Yes",'Part VI-Pro Forma'!$G$10="Yes"),"Choose One!",IF('Part VI-Pro Forma'!$G$9="Yes",ROUND((-$K$9*(1+'Part VI-Pro Forma'!$B$7)^('Part VI-Pro Forma'!I78-1)),),IF('Part VI-Pro Forma'!$G$10="Yes",ROUND((-(SUM(I79:I82)*'Part VI-Pro Forma'!$K$10)),),"Choose mgt fee")))</f>
        <v>-49046</v>
      </c>
      <c r="J86" s="22">
        <f>IF(AND('Part VI-Pro Forma'!$G$9="Yes",'Part VI-Pro Forma'!$G$10="Yes"),"Choose One!",IF('Part VI-Pro Forma'!$G$9="Yes",ROUND((-$K$9*(1+'Part VI-Pro Forma'!$B$7)^('Part VI-Pro Forma'!J78-1)),),IF('Part VI-Pro Forma'!$G$10="Yes",ROUND((-(SUM(J79:J82)*'Part VI-Pro Forma'!$K$10)),),"Choose mgt fee")))</f>
        <v>-50517</v>
      </c>
      <c r="K86" s="23">
        <f>IF(AND('Part VI-Pro Forma'!$G$9="Yes",'Part VI-Pro Forma'!$G$10="Yes"),"Choose One!",IF('Part VI-Pro Forma'!$G$9="Yes",ROUND((-$K$9*(1+'Part VI-Pro Forma'!$B$7)^('Part VI-Pro Forma'!K78-1)),),IF('Part VI-Pro Forma'!$G$10="Yes",ROUND((-(SUM(K79:K82)*'Part VI-Pro Forma'!$K$10)),),"Choose mgt fee")))</f>
        <v>-52033</v>
      </c>
      <c r="N86" s="3864"/>
      <c r="O86" s="3866"/>
      <c r="Z86" s="2259" t="s">
        <v>6468</v>
      </c>
      <c r="AA86" s="2263">
        <v>86</v>
      </c>
    </row>
    <row r="87" spans="1:27" ht="13.35" customHeight="1">
      <c r="A87" s="21" t="s">
        <v>1129</v>
      </c>
      <c r="B87" s="22">
        <f t="shared" ref="B87:K87" si="38">$B$23*(1+$B$8)^(B78-1)</f>
        <v>-20770.279198698252</v>
      </c>
      <c r="C87" s="22">
        <f t="shared" si="38"/>
        <v>-21393.387574659198</v>
      </c>
      <c r="D87" s="22">
        <f t="shared" si="38"/>
        <v>-22035.189201898975</v>
      </c>
      <c r="E87" s="22">
        <f t="shared" si="38"/>
        <v>-22696.244877955945</v>
      </c>
      <c r="F87" s="22">
        <f t="shared" si="38"/>
        <v>-23377.132224294623</v>
      </c>
      <c r="G87" s="22">
        <f t="shared" si="38"/>
        <v>-24078.44619102346</v>
      </c>
      <c r="H87" s="22">
        <f t="shared" si="38"/>
        <v>-24800.799576754165</v>
      </c>
      <c r="I87" s="22">
        <f t="shared" si="38"/>
        <v>-25544.823564056787</v>
      </c>
      <c r="J87" s="22">
        <f t="shared" si="38"/>
        <v>-26311.168270978491</v>
      </c>
      <c r="K87" s="23">
        <f t="shared" si="38"/>
        <v>-27100.503319107844</v>
      </c>
      <c r="N87" s="3864"/>
      <c r="O87" s="3866"/>
      <c r="Q87" s="958"/>
      <c r="R87" s="1105"/>
      <c r="S87" s="1105"/>
      <c r="Z87" s="2259" t="s">
        <v>6468</v>
      </c>
      <c r="AA87" s="2263">
        <v>87</v>
      </c>
    </row>
    <row r="88" spans="1:27" ht="13.35" customHeight="1">
      <c r="A88" s="447" t="s">
        <v>3840</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6468</v>
      </c>
      <c r="AA88" s="2263">
        <v>88</v>
      </c>
    </row>
    <row r="89" spans="1:27" ht="13.35" customHeight="1">
      <c r="A89" s="21" t="s">
        <v>1130</v>
      </c>
      <c r="B89" s="22">
        <f t="shared" ref="B89:K89" si="39">SUM(B84:B88)</f>
        <v>32532.475942243338</v>
      </c>
      <c r="C89" s="22">
        <f t="shared" si="39"/>
        <v>29061.063989682643</v>
      </c>
      <c r="D89" s="22">
        <f t="shared" si="39"/>
        <v>25395.434553928455</v>
      </c>
      <c r="E89" s="22">
        <f t="shared" si="39"/>
        <v>21530.092007992778</v>
      </c>
      <c r="F89" s="22">
        <f t="shared" si="39"/>
        <v>17456.310274028128</v>
      </c>
      <c r="G89" s="22">
        <f t="shared" si="39"/>
        <v>13165.125198160349</v>
      </c>
      <c r="H89" s="22">
        <f t="shared" si="39"/>
        <v>8649.3266823348749</v>
      </c>
      <c r="I89" s="22">
        <f t="shared" si="39"/>
        <v>3900.4505655989487</v>
      </c>
      <c r="J89" s="22">
        <f t="shared" si="39"/>
        <v>-1091.2297529829048</v>
      </c>
      <c r="K89" s="1538">
        <f t="shared" si="39"/>
        <v>-6335.7119578334132</v>
      </c>
      <c r="N89" s="3864"/>
      <c r="O89" s="3866"/>
      <c r="Z89" s="2259" t="s">
        <v>6468</v>
      </c>
      <c r="AA89" s="2263">
        <v>89</v>
      </c>
    </row>
    <row r="90" spans="1:27" ht="13.35" customHeight="1">
      <c r="A90" s="21" t="str">
        <f>$A58</f>
        <v>Mortgage A</v>
      </c>
      <c r="B90" s="448">
        <f>IF('Part II-Sources of Funds'!$P$40="", 0,-'Part II-Sources of Funds'!$P$40)</f>
        <v>-39820.285480056715</v>
      </c>
      <c r="C90" s="448">
        <f>IF('Part II-Sources of Funds'!$P$40="", 0,-'Part II-Sources of Funds'!$P$40)</f>
        <v>-39820.285480056715</v>
      </c>
      <c r="D90" s="448">
        <f>IF('Part II-Sources of Funds'!$P$40="", 0,-'Part II-Sources of Funds'!$P$40)</f>
        <v>-39820.285480056715</v>
      </c>
      <c r="E90" s="448">
        <f>IF('Part II-Sources of Funds'!$P$40="", 0,-'Part II-Sources of Funds'!$P$40)</f>
        <v>-39820.285480056715</v>
      </c>
      <c r="F90" s="448">
        <f>IF('Part II-Sources of Funds'!$P$40="", 0,-'Part II-Sources of Funds'!$P$40)</f>
        <v>-39820.285480056715</v>
      </c>
      <c r="G90" s="448">
        <f>IF('Part II-Sources of Funds'!$P$40="", 0,-'Part II-Sources of Funds'!$P$40)</f>
        <v>-39820.285480056715</v>
      </c>
      <c r="H90" s="448">
        <f>IF('Part II-Sources of Funds'!$P$40="", 0,-'Part II-Sources of Funds'!$P$40)</f>
        <v>-39820.285480056715</v>
      </c>
      <c r="I90" s="448">
        <f>IF('Part II-Sources of Funds'!$P$40="", 0,-'Part II-Sources of Funds'!$P$40)</f>
        <v>-39820.285480056715</v>
      </c>
      <c r="J90" s="448">
        <f>IF('Part II-Sources of Funds'!$P$40="", 0,-'Part II-Sources of Funds'!$P$40)</f>
        <v>-39820.285480056715</v>
      </c>
      <c r="K90" s="448">
        <f>IF('Part II-Sources of Funds'!$P$40="", 0,-'Part II-Sources of Funds'!$P$40)</f>
        <v>-39820.285480056715</v>
      </c>
      <c r="N90" s="3864"/>
      <c r="O90" s="3866"/>
      <c r="Z90" s="2259" t="s">
        <v>6468</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6468</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6468</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6468</v>
      </c>
      <c r="AA93" s="2263">
        <v>93</v>
      </c>
    </row>
    <row r="94" spans="1:27" ht="13.35" customHeight="1">
      <c r="A94" s="21" t="s">
        <v>711</v>
      </c>
      <c r="B94" s="173"/>
      <c r="C94" s="173"/>
      <c r="D94" s="173"/>
      <c r="E94" s="173"/>
      <c r="F94" s="173"/>
      <c r="G94" s="173"/>
      <c r="H94" s="173"/>
      <c r="I94" s="173"/>
      <c r="J94" s="173"/>
      <c r="K94" s="173"/>
      <c r="N94" s="3864"/>
      <c r="O94" s="3866"/>
      <c r="Z94" s="2259" t="s">
        <v>6468</v>
      </c>
      <c r="AA94" s="2263">
        <v>94</v>
      </c>
    </row>
    <row r="95" spans="1:27" ht="13.35" customHeight="1">
      <c r="A95" s="447" t="s">
        <v>1096</v>
      </c>
      <c r="B95" s="234">
        <f>+K63</f>
        <v>-7500</v>
      </c>
      <c r="C95" s="234">
        <f t="shared" ref="C95:K95" si="40">+B95</f>
        <v>-7500</v>
      </c>
      <c r="D95" s="234">
        <f t="shared" si="40"/>
        <v>-7500</v>
      </c>
      <c r="E95" s="234">
        <f t="shared" si="40"/>
        <v>-7500</v>
      </c>
      <c r="F95" s="234">
        <f t="shared" si="40"/>
        <v>-7500</v>
      </c>
      <c r="G95" s="234">
        <f t="shared" si="40"/>
        <v>-7500</v>
      </c>
      <c r="H95" s="234">
        <f t="shared" si="40"/>
        <v>-7500</v>
      </c>
      <c r="I95" s="234">
        <f t="shared" si="40"/>
        <v>-7500</v>
      </c>
      <c r="J95" s="234">
        <f t="shared" si="40"/>
        <v>-7500</v>
      </c>
      <c r="K95" s="234">
        <f t="shared" si="40"/>
        <v>-7500</v>
      </c>
      <c r="N95" s="3864"/>
      <c r="O95" s="3866"/>
      <c r="Z95" s="2259" t="s">
        <v>6468</v>
      </c>
      <c r="AA95" s="2263">
        <v>95</v>
      </c>
    </row>
    <row r="96" spans="1:27" ht="13.35" customHeight="1">
      <c r="A96" s="21" t="s">
        <v>1097</v>
      </c>
      <c r="B96" s="22">
        <f t="shared" ref="B96:K96" si="41">SUM(B89:B95)</f>
        <v>-14787.809537813377</v>
      </c>
      <c r="C96" s="22">
        <f t="shared" si="41"/>
        <v>-18259.221490374071</v>
      </c>
      <c r="D96" s="22">
        <f t="shared" si="41"/>
        <v>-21924.85092612826</v>
      </c>
      <c r="E96" s="22">
        <f t="shared" si="41"/>
        <v>-25790.193472063936</v>
      </c>
      <c r="F96" s="22">
        <f t="shared" si="41"/>
        <v>-29863.975206028586</v>
      </c>
      <c r="G96" s="22">
        <f t="shared" si="41"/>
        <v>-34155.160281896366</v>
      </c>
      <c r="H96" s="22">
        <f t="shared" si="41"/>
        <v>-38670.95879772184</v>
      </c>
      <c r="I96" s="22">
        <f t="shared" si="41"/>
        <v>-43419.834914457766</v>
      </c>
      <c r="J96" s="22">
        <f t="shared" si="41"/>
        <v>-48411.515233039623</v>
      </c>
      <c r="K96" s="23">
        <f t="shared" si="41"/>
        <v>-53655.997437890124</v>
      </c>
      <c r="N96" s="3864"/>
      <c r="O96" s="3866"/>
      <c r="Z96" s="2259" t="s">
        <v>6468</v>
      </c>
      <c r="AA96" s="2261">
        <v>96</v>
      </c>
    </row>
    <row r="97" spans="1:27" ht="13.35" customHeight="1">
      <c r="A97" s="21" t="str">
        <f>$A66</f>
        <v>DCR Mortgage A</v>
      </c>
      <c r="B97" s="24">
        <f t="shared" ref="B97:K97" si="42">IF(B90=0,"",-B89/B90)</f>
        <v>0.81698248895118175</v>
      </c>
      <c r="C97" s="24">
        <f t="shared" si="42"/>
        <v>0.72980551594079768</v>
      </c>
      <c r="D97" s="24">
        <f t="shared" si="42"/>
        <v>0.63775119258367219</v>
      </c>
      <c r="E97" s="24">
        <f t="shared" si="42"/>
        <v>0.54068150814176719</v>
      </c>
      <c r="F97" s="24">
        <f t="shared" si="42"/>
        <v>0.438377326118639</v>
      </c>
      <c r="G97" s="24">
        <f t="shared" si="42"/>
        <v>0.33061353125541676</v>
      </c>
      <c r="H97" s="24">
        <f t="shared" si="42"/>
        <v>0.21720905759620274</v>
      </c>
      <c r="I97" s="24">
        <f t="shared" si="42"/>
        <v>9.7951346118611338E-2</v>
      </c>
      <c r="J97" s="24">
        <f t="shared" si="42"/>
        <v>-2.7403865638518033E-2</v>
      </c>
      <c r="K97" s="25">
        <f t="shared" si="42"/>
        <v>-0.15910764780946993</v>
      </c>
      <c r="N97" s="3864"/>
      <c r="O97" s="3866"/>
      <c r="Z97" s="2259" t="s">
        <v>6468</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4"/>
      <c r="O98" s="3866"/>
      <c r="Z98" s="2259" t="s">
        <v>6468</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4"/>
      <c r="O99" s="3866"/>
      <c r="Z99" s="2259" t="s">
        <v>6468</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4"/>
      <c r="O100" s="3866"/>
      <c r="Z100" s="2259" t="s">
        <v>6468</v>
      </c>
      <c r="AA100" s="2262">
        <v>100</v>
      </c>
    </row>
    <row r="101" spans="1:27" ht="13.35" customHeight="1">
      <c r="A101" s="447" t="s">
        <v>3216</v>
      </c>
      <c r="B101" s="24">
        <f t="shared" ref="B101:K101" si="46">IF(AND(B90=0,B91=0,B92=0,B93=0),"",-B89/(B90+B91+B92+B93))</f>
        <v>0.81698248895118175</v>
      </c>
      <c r="C101" s="24">
        <f t="shared" si="46"/>
        <v>0.72980551594079768</v>
      </c>
      <c r="D101" s="24">
        <f t="shared" si="46"/>
        <v>0.63775119258367219</v>
      </c>
      <c r="E101" s="24">
        <f t="shared" si="46"/>
        <v>0.54068150814176719</v>
      </c>
      <c r="F101" s="24">
        <f t="shared" si="46"/>
        <v>0.438377326118639</v>
      </c>
      <c r="G101" s="24">
        <f t="shared" si="46"/>
        <v>0.33061353125541676</v>
      </c>
      <c r="H101" s="24">
        <f t="shared" si="46"/>
        <v>0.21720905759620274</v>
      </c>
      <c r="I101" s="24">
        <f t="shared" si="46"/>
        <v>9.7951346118611338E-2</v>
      </c>
      <c r="J101" s="24">
        <f t="shared" si="46"/>
        <v>-2.7403865638518033E-2</v>
      </c>
      <c r="K101" s="25">
        <f t="shared" si="46"/>
        <v>-0.15910764780946993</v>
      </c>
      <c r="N101" s="3864"/>
      <c r="O101" s="3866"/>
      <c r="Z101" s="2259" t="s">
        <v>6468</v>
      </c>
      <c r="AA101" s="2263">
        <v>101</v>
      </c>
    </row>
    <row r="102" spans="1:27" ht="13.35" customHeight="1">
      <c r="A102" s="21" t="s">
        <v>718</v>
      </c>
      <c r="B102" s="288">
        <f>IF(OR(B86="Choose mgt fee",B86="Choose One!"),"",(B79+B80+B81+B82+B83) / -(B85+B86+B87))</f>
        <v>1.0789157470970672</v>
      </c>
      <c r="C102" s="288">
        <f t="shared" ref="C102:K102" si="47">IF(OR(C86="Choose mgt fee",C86="Choose One!"),"",(C79+C80+C81+C82+C83) / -(C85+C86+C87))</f>
        <v>1.0684417679572957</v>
      </c>
      <c r="D102" s="288">
        <f t="shared" si="47"/>
        <v>1.0580667324516377</v>
      </c>
      <c r="E102" s="288">
        <f t="shared" si="47"/>
        <v>1.0477947981449032</v>
      </c>
      <c r="F102" s="288">
        <f t="shared" si="47"/>
        <v>1.0376227263784368</v>
      </c>
      <c r="G102" s="288">
        <f t="shared" si="47"/>
        <v>1.0275476872689187</v>
      </c>
      <c r="H102" s="288">
        <f t="shared" si="47"/>
        <v>1.0175713514246196</v>
      </c>
      <c r="I102" s="288">
        <f t="shared" si="47"/>
        <v>1.0076930911824051</v>
      </c>
      <c r="J102" s="288">
        <f t="shared" si="47"/>
        <v>0.99791038925878783</v>
      </c>
      <c r="K102" s="289">
        <f t="shared" si="47"/>
        <v>0.98822103862967825</v>
      </c>
      <c r="N102" s="3864"/>
      <c r="O102" s="3866"/>
      <c r="Z102" s="2259" t="s">
        <v>6468</v>
      </c>
      <c r="AA102" s="2263">
        <v>102</v>
      </c>
    </row>
    <row r="103" spans="1:27" ht="13.35" customHeight="1">
      <c r="A103" s="447" t="s">
        <v>2406</v>
      </c>
      <c r="B103" s="232">
        <f>IF('Part II-Sources of Funds'!$I$40="","",-FV('Part II-Sources of Funds'!$K$40/12,12,B90/12,K72))</f>
        <v>270786.48946317489</v>
      </c>
      <c r="C103" s="232">
        <f>IF('Part II-Sources of Funds'!$I$40="","",-FV('Part II-Sources of Funds'!$K$40/12,12,C90/12,B103))</f>
        <v>247893.28114641586</v>
      </c>
      <c r="D103" s="232">
        <f>IF('Part II-Sources of Funds'!$I$40="","",-FV('Part II-Sources of Funds'!$K$40/12,12,D90/12,C103))</f>
        <v>223466.87227040343</v>
      </c>
      <c r="E103" s="232">
        <f>IF('Part II-Sources of Funds'!$I$40="","",-FV('Part II-Sources of Funds'!$K$40/12,12,E90/12,D103))</f>
        <v>197404.58155419311</v>
      </c>
      <c r="F103" s="232">
        <f>IF('Part II-Sources of Funds'!$I$40="","",-FV('Part II-Sources of Funds'!$K$40/12,12,F90/12,E103))</f>
        <v>169596.85096128951</v>
      </c>
      <c r="G103" s="232">
        <f>IF('Part II-Sources of Funds'!$I$40="","",-FV('Part II-Sources of Funds'!$K$40/12,12,G90/12,F103))</f>
        <v>139926.78515059137</v>
      </c>
      <c r="H103" s="232">
        <f>IF('Part II-Sources of Funds'!$I$40="","",-FV('Part II-Sources of Funds'!$K$40/12,12,H90/12,G103))</f>
        <v>108269.66008351344</v>
      </c>
      <c r="I103" s="232">
        <f>IF('Part II-Sources of Funds'!$I$40="","",-FV('Part II-Sources of Funds'!$K$40/12,12,I90/12,H103))</f>
        <v>74492.398721617181</v>
      </c>
      <c r="J103" s="232">
        <f>IF('Part II-Sources of Funds'!$I$40="","",-FV('Part II-Sources of Funds'!$K$40/12,12,J90/12,I103))</f>
        <v>38453.011610740781</v>
      </c>
      <c r="K103" s="232">
        <f>IF('Part II-Sources of Funds'!$I$40="","",-FV('Part II-Sources of Funds'!$K$40/12,12,K90/12,J103))</f>
        <v>1.2412783689796925E-8</v>
      </c>
      <c r="N103" s="3864"/>
      <c r="O103" s="3866"/>
      <c r="Z103" s="2259" t="s">
        <v>6468</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6468</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6468</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6468</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35" customHeight="1">
      <c r="A109" s="18" t="s">
        <v>2216</v>
      </c>
      <c r="B109" s="19">
        <f>$B$15*(1+$B$6)^(B108-1)</f>
        <v>571557.03424797219</v>
      </c>
      <c r="C109" s="19">
        <f>$B$15*(1+$B$6)^(C108-1)</f>
        <v>582988.17493293143</v>
      </c>
      <c r="D109" s="19">
        <f>$B$15*(1+$B$6)^(D108-1)</f>
        <v>594647.93843159021</v>
      </c>
      <c r="E109" s="19">
        <f>$B$15*(1+$B$6)^(E108-1)</f>
        <v>606540.89720022201</v>
      </c>
      <c r="F109" s="642">
        <f>$B$15*(1+$B$6)^(F108-1)</f>
        <v>618671.71514422644</v>
      </c>
      <c r="G109" s="17"/>
      <c r="H109" s="17"/>
      <c r="I109" s="17"/>
      <c r="J109" s="17"/>
      <c r="K109" s="17"/>
      <c r="N109" s="3870"/>
      <c r="O109" s="3872"/>
      <c r="Z109" s="2259" t="s">
        <v>6469</v>
      </c>
      <c r="AA109" s="2262">
        <v>109</v>
      </c>
    </row>
    <row r="110" spans="1:27" ht="13.35" customHeight="1">
      <c r="A110" s="21" t="s">
        <v>953</v>
      </c>
      <c r="B110" s="22">
        <f>$B$16*(1+$B$6)^(B108-1)</f>
        <v>11431.140684959444</v>
      </c>
      <c r="C110" s="22">
        <f>$B$16*(1+$B$6)^(C108-1)</f>
        <v>11659.763498658629</v>
      </c>
      <c r="D110" s="22">
        <f>$B$16*(1+$B$6)^(D108-1)</f>
        <v>11892.958768631805</v>
      </c>
      <c r="E110" s="22">
        <f>$B$16*(1+$B$6)^(E108-1)</f>
        <v>12130.817944004442</v>
      </c>
      <c r="F110" s="23">
        <f>$B$16*(1+$B$6)^(F108-1)</f>
        <v>12373.434302884529</v>
      </c>
      <c r="G110" s="17"/>
      <c r="H110" s="17"/>
      <c r="I110" s="17"/>
      <c r="J110" s="17"/>
      <c r="K110" s="17"/>
      <c r="N110" s="3864"/>
      <c r="O110" s="3866"/>
      <c r="Z110" s="2259" t="s">
        <v>6469</v>
      </c>
      <c r="AA110" s="2263">
        <v>110</v>
      </c>
    </row>
    <row r="111" spans="1:27" ht="13.35" customHeight="1">
      <c r="A111" s="21" t="s">
        <v>2217</v>
      </c>
      <c r="B111" s="22">
        <f>-(B109+B110)*$B$9</f>
        <v>-40809.172245305221</v>
      </c>
      <c r="C111" s="22">
        <f>-(C109+C110)*$B$9</f>
        <v>-41625.355690211312</v>
      </c>
      <c r="D111" s="22">
        <f>-(D109+D110)*$B$9</f>
        <v>-42457.862804015545</v>
      </c>
      <c r="E111" s="22">
        <f>-(E109+E110)*$B$9</f>
        <v>-43307.020060095856</v>
      </c>
      <c r="F111" s="23">
        <f>-(F109+F110)*$B$9</f>
        <v>-44173.160461297768</v>
      </c>
      <c r="G111" s="17"/>
      <c r="H111" s="17"/>
      <c r="I111" s="17"/>
      <c r="J111" s="17"/>
      <c r="K111" s="17"/>
      <c r="N111" s="3864"/>
      <c r="O111" s="3866"/>
      <c r="Z111" s="2259" t="s">
        <v>6469</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6469</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6469</v>
      </c>
      <c r="AA113" s="2263">
        <v>113</v>
      </c>
    </row>
    <row r="114" spans="1:27" ht="13.35" customHeight="1">
      <c r="A114" s="447" t="s">
        <v>3841</v>
      </c>
      <c r="B114" s="22">
        <f>SUM(B109:B113)</f>
        <v>542179.0026876264</v>
      </c>
      <c r="C114" s="22">
        <f>SUM(C109:C113)</f>
        <v>553022.58274137881</v>
      </c>
      <c r="D114" s="22">
        <f>SUM(D109:D113)</f>
        <v>564083.03439620649</v>
      </c>
      <c r="E114" s="22">
        <f>SUM(E109:E113)</f>
        <v>575364.69508413062</v>
      </c>
      <c r="F114" s="23">
        <f>SUM(F109:F113)</f>
        <v>586871.98898581322</v>
      </c>
      <c r="G114" s="17"/>
      <c r="H114" s="17"/>
      <c r="I114" s="17"/>
      <c r="J114" s="17"/>
      <c r="K114" s="17"/>
      <c r="N114" s="3864"/>
      <c r="O114" s="3866"/>
      <c r="Z114" s="2259" t="s">
        <v>6469</v>
      </c>
      <c r="AA114" s="2263">
        <v>114</v>
      </c>
    </row>
    <row r="115" spans="1:27" ht="13.35" customHeight="1">
      <c r="A115" s="21" t="s">
        <v>572</v>
      </c>
      <c r="B115" s="22">
        <f>$B$21*(1+$B$7)^(B108-1)</f>
        <v>-472512.75800401974</v>
      </c>
      <c r="C115" s="22">
        <f>$B$21*(1+$B$7)^(C108-1)</f>
        <v>-486688.14074414043</v>
      </c>
      <c r="D115" s="22">
        <f>$B$21*(1+$B$7)^(D108-1)</f>
        <v>-501288.7849664645</v>
      </c>
      <c r="E115" s="22">
        <f>$B$21*(1+$B$7)^(E108-1)</f>
        <v>-516327.4485154585</v>
      </c>
      <c r="F115" s="23">
        <f>$B$21*(1+$B$7)^(F108-1)</f>
        <v>-531817.27197092213</v>
      </c>
      <c r="G115" s="17"/>
      <c r="H115" s="17"/>
      <c r="I115" s="17"/>
      <c r="J115" s="17"/>
      <c r="K115" s="17"/>
      <c r="N115" s="3864"/>
      <c r="O115" s="3866"/>
      <c r="Z115" s="2259" t="s">
        <v>6469</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-53594</v>
      </c>
      <c r="C116" s="22">
        <f>IF(AND('Part VI-Pro Forma'!$G$9="Yes",'Part VI-Pro Forma'!$G$10="Yes"),"Choose One!",IF('Part VI-Pro Forma'!$G$9="Yes",ROUND((-$K$9*(1+'Part VI-Pro Forma'!$B$7)^('Part VI-Pro Forma'!C108-1)),),IF('Part VI-Pro Forma'!$G$10="Yes",ROUND((-(SUM(C109:C112)*'Part VI-Pro Forma'!$K$10)),),"Choose mgt fee")))</f>
        <v>-55202</v>
      </c>
      <c r="D116" s="22">
        <f>IF(AND('Part VI-Pro Forma'!$G$9="Yes",'Part VI-Pro Forma'!$G$10="Yes"),"Choose One!",IF('Part VI-Pro Forma'!$G$9="Yes",ROUND((-$K$9*(1+'Part VI-Pro Forma'!$B$7)^('Part VI-Pro Forma'!D108-1)),),IF('Part VI-Pro Forma'!$G$10="Yes",ROUND((-(SUM(D109:D112)*'Part VI-Pro Forma'!$K$10)),),"Choose mgt fee")))</f>
        <v>-56858</v>
      </c>
      <c r="E116" s="22">
        <f>IF(AND('Part VI-Pro Forma'!$G$9="Yes",'Part VI-Pro Forma'!$G$10="Yes"),"Choose One!",IF('Part VI-Pro Forma'!$G$9="Yes",ROUND((-$K$9*(1+'Part VI-Pro Forma'!$B$7)^('Part VI-Pro Forma'!E108-1)),),IF('Part VI-Pro Forma'!$G$10="Yes",ROUND((-(SUM(E109:E112)*'Part VI-Pro Forma'!$K$10)),),"Choose mgt fee")))</f>
        <v>-58564</v>
      </c>
      <c r="F116" s="23">
        <f>IF(AND('Part VI-Pro Forma'!$G$9="Yes",'Part VI-Pro Forma'!$G$10="Yes"),"Choose One!",IF('Part VI-Pro Forma'!$G$9="Yes",ROUND((-$K$9*(1+'Part VI-Pro Forma'!$B$7)^('Part VI-Pro Forma'!F108-1)),),IF('Part VI-Pro Forma'!$G$10="Yes",ROUND((-(SUM(F109:F112)*'Part VI-Pro Forma'!$K$10)),),"Choose mgt fee")))</f>
        <v>-60320</v>
      </c>
      <c r="G116" s="17"/>
      <c r="H116" s="17"/>
      <c r="I116" s="17"/>
      <c r="J116" s="17"/>
      <c r="K116" s="17"/>
      <c r="N116" s="3864"/>
      <c r="O116" s="3866"/>
      <c r="Z116" s="2259" t="s">
        <v>6469</v>
      </c>
      <c r="AA116" s="2263">
        <v>116</v>
      </c>
    </row>
    <row r="117" spans="1:27" ht="13.35" customHeight="1">
      <c r="A117" s="21" t="s">
        <v>1129</v>
      </c>
      <c r="B117" s="22">
        <f>$B$23*(1+$B$8)^(B108-1)</f>
        <v>-27913.51841868108</v>
      </c>
      <c r="C117" s="22">
        <f>$B$23*(1+$B$8)^(C108-1)</f>
        <v>-28750.923971241518</v>
      </c>
      <c r="D117" s="22">
        <f>$B$23*(1+$B$8)^(D108-1)</f>
        <v>-29613.451690378755</v>
      </c>
      <c r="E117" s="22">
        <f>$B$23*(1+$B$8)^(E108-1)</f>
        <v>-30501.855241090121</v>
      </c>
      <c r="F117" s="23">
        <f>$B$23*(1+$B$8)^(F108-1)</f>
        <v>-31416.910898322818</v>
      </c>
      <c r="G117" s="17"/>
      <c r="H117" s="17"/>
      <c r="I117" s="17"/>
      <c r="J117" s="17"/>
      <c r="K117" s="17"/>
      <c r="N117" s="3864"/>
      <c r="O117" s="3866"/>
      <c r="Q117" s="958">
        <v>10</v>
      </c>
      <c r="R117" s="1105">
        <f>-SUM(B123:K123)</f>
        <v>0</v>
      </c>
      <c r="S117" s="1105">
        <f>SUM(B124:K124)+R117</f>
        <v>0</v>
      </c>
      <c r="Z117" s="2259" t="s">
        <v>6469</v>
      </c>
      <c r="AA117" s="2261">
        <v>117</v>
      </c>
    </row>
    <row r="118" spans="1:27" ht="13.35" customHeight="1">
      <c r="A118" s="447" t="s">
        <v>3840</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6469</v>
      </c>
      <c r="AA118" s="2262">
        <v>118</v>
      </c>
    </row>
    <row r="119" spans="1:27" ht="13.35" customHeight="1">
      <c r="A119" s="21" t="s">
        <v>1130</v>
      </c>
      <c r="B119" s="22">
        <f>SUM(B114:B118)</f>
        <v>-11841.273735074414</v>
      </c>
      <c r="C119" s="22">
        <f>SUM(C114:C118)</f>
        <v>-17618.481974003142</v>
      </c>
      <c r="D119" s="22">
        <f>SUM(D114:D118)</f>
        <v>-23677.202260636765</v>
      </c>
      <c r="E119" s="22">
        <f>SUM(E114:E118)</f>
        <v>-30028.608672417995</v>
      </c>
      <c r="F119" s="1538">
        <f>SUM(F114:F118)</f>
        <v>-36682.193883431726</v>
      </c>
      <c r="G119" s="17"/>
      <c r="H119" s="17"/>
      <c r="I119" s="17"/>
      <c r="J119" s="17"/>
      <c r="K119" s="17"/>
      <c r="N119" s="3864"/>
      <c r="O119" s="3866"/>
      <c r="Z119" s="2259" t="s">
        <v>6469</v>
      </c>
      <c r="AA119" s="2263">
        <v>119</v>
      </c>
    </row>
    <row r="120" spans="1:27" ht="13.35" customHeight="1">
      <c r="A120" s="21" t="str">
        <f>$A90</f>
        <v>Mortgage A</v>
      </c>
      <c r="B120" s="448">
        <f>IF('Part II-Sources of Funds'!$P$40="", 0,-'Part II-Sources of Funds'!$P$40)</f>
        <v>-39820.285480056715</v>
      </c>
      <c r="C120" s="448">
        <f>IF('Part II-Sources of Funds'!$P$40="", 0,-'Part II-Sources of Funds'!$P$40)</f>
        <v>-39820.285480056715</v>
      </c>
      <c r="D120" s="448">
        <f>IF('Part II-Sources of Funds'!$P$40="", 0,-'Part II-Sources of Funds'!$P$40)</f>
        <v>-39820.285480056715</v>
      </c>
      <c r="E120" s="448">
        <f>IF('Part II-Sources of Funds'!$P$40="", 0,-'Part II-Sources of Funds'!$P$40)</f>
        <v>-39820.285480056715</v>
      </c>
      <c r="F120" s="448">
        <f>IF('Part II-Sources of Funds'!$P$40="", 0,-'Part II-Sources of Funds'!$P$40)</f>
        <v>-39820.285480056715</v>
      </c>
      <c r="G120" s="17"/>
      <c r="H120" s="17"/>
      <c r="I120" s="17"/>
      <c r="J120" s="17"/>
      <c r="K120" s="17"/>
      <c r="N120" s="3864"/>
      <c r="O120" s="3866"/>
      <c r="Z120" s="2259" t="s">
        <v>6469</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6469</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6469</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6469</v>
      </c>
      <c r="AA123" s="2262">
        <v>123</v>
      </c>
    </row>
    <row r="124" spans="1:27" ht="13.35" customHeight="1">
      <c r="A124" s="21" t="s">
        <v>711</v>
      </c>
      <c r="B124" s="173"/>
      <c r="C124" s="173"/>
      <c r="D124" s="173"/>
      <c r="E124" s="173"/>
      <c r="F124" s="173"/>
      <c r="G124" s="17"/>
      <c r="H124" s="17"/>
      <c r="I124" s="17"/>
      <c r="J124" s="17"/>
      <c r="K124" s="17"/>
      <c r="N124" s="3864"/>
      <c r="O124" s="3866"/>
      <c r="Z124" s="2259" t="s">
        <v>6469</v>
      </c>
      <c r="AA124" s="2263">
        <v>124</v>
      </c>
    </row>
    <row r="125" spans="1:27" ht="13.35" customHeight="1">
      <c r="A125" s="21" t="s">
        <v>1096</v>
      </c>
      <c r="B125" s="234">
        <f>+K95</f>
        <v>-7500</v>
      </c>
      <c r="C125" s="234">
        <f>+B125</f>
        <v>-7500</v>
      </c>
      <c r="D125" s="234">
        <f>+C125</f>
        <v>-7500</v>
      </c>
      <c r="E125" s="234">
        <f>+D125</f>
        <v>-7500</v>
      </c>
      <c r="F125" s="234">
        <f>+E125</f>
        <v>-7500</v>
      </c>
      <c r="G125" s="17"/>
      <c r="H125" s="17"/>
      <c r="I125" s="17"/>
      <c r="J125" s="17"/>
      <c r="K125" s="17"/>
      <c r="N125" s="3864"/>
      <c r="O125" s="3866"/>
      <c r="Z125" s="2259" t="s">
        <v>6469</v>
      </c>
      <c r="AA125" s="2263">
        <v>125</v>
      </c>
    </row>
    <row r="126" spans="1:27" ht="13.35" customHeight="1">
      <c r="A126" s="21" t="s">
        <v>1097</v>
      </c>
      <c r="B126" s="22">
        <f>SUM(B119:B125)</f>
        <v>-59161.559215131128</v>
      </c>
      <c r="C126" s="22">
        <f>SUM(C119:C125)</f>
        <v>-64938.767454059853</v>
      </c>
      <c r="D126" s="22">
        <f>SUM(D119:D125)</f>
        <v>-70997.487740693483</v>
      </c>
      <c r="E126" s="22">
        <f>SUM(E119:E125)</f>
        <v>-77348.894152474706</v>
      </c>
      <c r="F126" s="23">
        <f>SUM(F119:F125)</f>
        <v>-84002.479363488441</v>
      </c>
      <c r="G126" s="17"/>
      <c r="H126" s="17"/>
      <c r="I126" s="17"/>
      <c r="J126" s="17"/>
      <c r="K126" s="17"/>
      <c r="N126" s="3864"/>
      <c r="O126" s="3866"/>
      <c r="Z126" s="2259" t="s">
        <v>6469</v>
      </c>
      <c r="AA126" s="2263">
        <v>126</v>
      </c>
    </row>
    <row r="127" spans="1:27" ht="13.35" customHeight="1">
      <c r="A127" s="21" t="str">
        <f>$A97</f>
        <v>DCR Mortgage A</v>
      </c>
      <c r="B127" s="24">
        <f>IF(B120=0,"",-B119/B120)</f>
        <v>-0.29736787650618191</v>
      </c>
      <c r="C127" s="24">
        <f>IF(C120=0,"",-C119/C120)</f>
        <v>-0.44244991620733221</v>
      </c>
      <c r="D127" s="24">
        <f>IF(D120=0,"",-D119/D120)</f>
        <v>-0.59460151968260178</v>
      </c>
      <c r="E127" s="24">
        <f>IF(E120=0,"",-E119/E120)</f>
        <v>-0.75410329962243217</v>
      </c>
      <c r="F127" s="25">
        <f>IF(F120=0,"",-F119/F120)</f>
        <v>-0.92119364392310432</v>
      </c>
      <c r="G127" s="17"/>
      <c r="H127" s="17"/>
      <c r="I127" s="17"/>
      <c r="J127" s="17"/>
      <c r="K127" s="17"/>
      <c r="N127" s="3864"/>
      <c r="O127" s="3866"/>
      <c r="Z127" s="2259" t="s">
        <v>6469</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6469</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6469</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6469</v>
      </c>
      <c r="AA130" s="2263">
        <v>130</v>
      </c>
    </row>
    <row r="131" spans="1:27" ht="13.35" customHeight="1">
      <c r="A131" s="447" t="s">
        <v>3216</v>
      </c>
      <c r="B131" s="24">
        <f>IF(AND(B120=0,B121=0,B122=0,B123=0),"",-B119/(B120+B121+B122+B123))</f>
        <v>-0.29736787650618191</v>
      </c>
      <c r="C131" s="24">
        <f>IF(AND(C120=0,C121=0,C122=0,C123=0),"",-C119/(C120+C121+C122+C123))</f>
        <v>-0.44244991620733221</v>
      </c>
      <c r="D131" s="24">
        <f>IF(AND(D120=0,D121=0,D122=0,D123=0),"",-D119/(D120+D121+D122+D123))</f>
        <v>-0.59460151968260178</v>
      </c>
      <c r="E131" s="24">
        <f>IF(AND(E120=0,E121=0,E122=0,E123=0),"",-E119/(E120+E121+E122+E123))</f>
        <v>-0.75410329962243217</v>
      </c>
      <c r="F131" s="25">
        <f>IF(AND(F120=0,F121=0,F122=0,F123=0),"",-F119/(F120+F121+F122+F123))</f>
        <v>-0.92119364392310432</v>
      </c>
      <c r="G131" s="17"/>
      <c r="H131" s="17"/>
      <c r="I131" s="17"/>
      <c r="J131" s="17"/>
      <c r="K131" s="17"/>
      <c r="N131" s="3864"/>
      <c r="O131" s="3866"/>
      <c r="Z131" s="2259" t="s">
        <v>6469</v>
      </c>
      <c r="AA131" s="2261">
        <v>131</v>
      </c>
    </row>
    <row r="132" spans="1:27" ht="13.35" customHeight="1">
      <c r="A132" s="21" t="s">
        <v>718</v>
      </c>
      <c r="B132" s="288">
        <f>IF(OR(B116="Choose mgt fee",B116="Choose One!"),"",(B109+B110+B111+B112+B113) / -(B115+B116+B117))</f>
        <v>0.97862664194976157</v>
      </c>
      <c r="C132" s="288">
        <f>IF(OR(C116="Choose mgt fee",C116="Choose One!"),"",(C109+C110+C111+C112+C113) / -(C115+C116+C117))</f>
        <v>0.96912510672047292</v>
      </c>
      <c r="D132" s="288">
        <f>IF(OR(D116="Choose mgt fee",D116="Choose One!"),"",(D109+D110+D111+D112+D113) / -(D115+D116+D117))</f>
        <v>0.95971622307199322</v>
      </c>
      <c r="E132" s="288">
        <f>IF(OR(E116="Choose mgt fee",E116="Choose One!"),"",(E109+E110+E111+E112+E113) / -(E115+E116+E117))</f>
        <v>0.95039818166787371</v>
      </c>
      <c r="F132" s="643">
        <f>IF(OR(F116="Choose mgt fee",F116="Choose One!"),"",(F109+F110+F111+F112+F113) / -(F115+F116+F117))</f>
        <v>0.94117240347159414</v>
      </c>
      <c r="G132" s="17"/>
      <c r="H132" s="17"/>
      <c r="I132" s="17"/>
      <c r="J132" s="17"/>
      <c r="K132" s="17"/>
      <c r="N132" s="3864"/>
      <c r="O132" s="3866"/>
      <c r="Z132" s="2259" t="s">
        <v>6469</v>
      </c>
      <c r="AA132" s="2262">
        <v>132</v>
      </c>
    </row>
    <row r="133" spans="1:27" ht="13.35" customHeight="1">
      <c r="A133" s="447" t="s">
        <v>2406</v>
      </c>
      <c r="B133" s="232">
        <f>IF('Part II-Sources of Funds'!$I$40="","",-FV('Part II-Sources of Funds'!$K$40/12,12,B120/12,K103))</f>
        <v>-41028.281013361731</v>
      </c>
      <c r="C133" s="232">
        <f>IF('Part II-Sources of Funds'!$I$40="","",-FV('Part II-Sources of Funds'!$K$40/12,12,C120/12,B133))</f>
        <v>-84804.301990682317</v>
      </c>
      <c r="D133" s="232">
        <f>IF('Part II-Sources of Funds'!$I$40="","",-FV('Part II-Sources of Funds'!$K$40/12,12,D120/12,C133))</f>
        <v>-131512.08416615624</v>
      </c>
      <c r="E133" s="232">
        <f>IF('Part II-Sources of Funds'!$I$40="","",-FV('Part II-Sources of Funds'!$K$40/12,12,E120/12,D133))</f>
        <v>-181347.97301685304</v>
      </c>
      <c r="F133" s="232">
        <f>IF('Part II-Sources of Funds'!$I$40="","",-FV('Part II-Sources of Funds'!$K$40/12,12,F120/12,E133))</f>
        <v>-234521.46364007387</v>
      </c>
      <c r="G133" s="17"/>
      <c r="H133" s="17"/>
      <c r="I133" s="17"/>
      <c r="J133" s="17"/>
      <c r="K133" s="17"/>
      <c r="N133" s="3864"/>
      <c r="O133" s="3866"/>
      <c r="Z133" s="2259" t="s">
        <v>6469</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6469</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6469</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6469</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7028</v>
      </c>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90" priority="11">
      <formula>$G$7&lt;$G$6</formula>
    </cfRule>
  </conditionalFormatting>
  <conditionalFormatting sqref="A31">
    <cfRule type="expression" dxfId="89" priority="10">
      <formula>"or(B28&lt;$G$6,C28&lt;$G$6,D28&lt;$G$6,E28&lt;$G$6,F28&lt;$G$6,G28&lt;$G$6,H28&lt;$G$6,I28&lt;$G$6,J28&lt;$G$6,K28&lt;$G$6,)"</formula>
    </cfRule>
  </conditionalFormatting>
  <conditionalFormatting sqref="A63">
    <cfRule type="expression" dxfId="88" priority="7">
      <formula>"or(B28&lt;$G$6,C28&lt;$G$6,D28&lt;$G$6,E28&lt;$G$6,F28&lt;$G$6,G28&lt;$G$6,H28&lt;$G$6,I28&lt;$G$6,J28&lt;$G$6,K28&lt;$G$6,)"</formula>
    </cfRule>
  </conditionalFormatting>
  <conditionalFormatting sqref="A95">
    <cfRule type="expression" dxfId="87" priority="6">
      <formula>"or(B28&lt;$G$6,C28&lt;$G$6,D28&lt;$G$6,E28&lt;$G$6,F28&lt;$G$6,G28&lt;$G$6,H28&lt;$G$6,I28&lt;$G$6,J28&lt;$G$6,K28&lt;$G$6,)"</formula>
    </cfRule>
  </conditionalFormatting>
  <conditionalFormatting sqref="A24">
    <cfRule type="expression" dxfId="86" priority="5">
      <formula>"or(B28&lt;$G$6,C28&lt;$G$6,D28&lt;$G$6,E28&lt;$G$6,F28&lt;$G$6,G28&lt;$G$6,H28&lt;$G$6,I28&lt;$G$6,J28&lt;$G$6,K28&lt;$G$6,)"</formula>
    </cfRule>
  </conditionalFormatting>
  <conditionalFormatting sqref="A56">
    <cfRule type="expression" dxfId="85" priority="4">
      <formula>"or(B28&lt;$G$6,C28&lt;$G$6,D28&lt;$G$6,E28&lt;$G$6,F28&lt;$G$6,G28&lt;$G$6,H28&lt;$G$6,I28&lt;$G$6,J28&lt;$G$6,K28&lt;$G$6,)"</formula>
    </cfRule>
  </conditionalFormatting>
  <conditionalFormatting sqref="A88">
    <cfRule type="expression" dxfId="84" priority="3">
      <formula>"or(B28&lt;$G$6,C28&lt;$G$6,D28&lt;$G$6,E28&lt;$G$6,F28&lt;$G$6,G28&lt;$G$6,H28&lt;$G$6,I28&lt;$G$6,J28&lt;$G$6,K28&lt;$G$6,)"</formula>
    </cfRule>
  </conditionalFormatting>
  <conditionalFormatting sqref="A118">
    <cfRule type="expression" dxfId="83"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formula1>0.05</formula1>
    </dataValidation>
    <dataValidation type="list" allowBlank="1" showInputMessage="1" showErrorMessage="1" error="Please choose a response from the list provided by using the drop-down arrow to the right of the box." sqref="G9:G1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2069"/>
  <sheetViews>
    <sheetView showGridLines="0" topLeftCell="A172" zoomScaleNormal="100" workbookViewId="0">
      <selection activeCell="N183" sqref="N18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Magnolia Villas, Tifton, Tift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6"/>
      <c r="C3" s="4116"/>
      <c r="D3" s="4116"/>
      <c r="E3" s="4116"/>
      <c r="F3" s="4116"/>
      <c r="G3" s="4116"/>
      <c r="H3" s="411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7"/>
      <c r="J3" s="4117"/>
      <c r="K3" s="4117"/>
      <c r="L3" s="4117"/>
      <c r="M3" s="4117"/>
      <c r="N3" s="4117"/>
      <c r="P3" s="4127" t="s">
        <v>876</v>
      </c>
      <c r="Q3" s="4174" t="s">
        <v>6538</v>
      </c>
      <c r="R3" s="2384"/>
      <c r="S3" s="2384"/>
    </row>
    <row r="4" spans="1:32" ht="3" customHeight="1">
      <c r="A4" s="1132"/>
      <c r="B4" s="4118"/>
      <c r="C4" s="4118"/>
      <c r="D4" s="4118"/>
      <c r="E4" s="1132"/>
      <c r="F4" s="1132"/>
      <c r="G4" s="1132"/>
      <c r="H4" s="1132"/>
      <c r="J4" s="633"/>
      <c r="K4" s="1132"/>
      <c r="L4" s="1132"/>
      <c r="M4" s="1132"/>
      <c r="N4" s="1132"/>
      <c r="P4" s="4128"/>
      <c r="Q4" s="4175"/>
      <c r="R4" s="2384"/>
      <c r="S4" s="2384"/>
    </row>
    <row r="5" spans="1:32">
      <c r="E5" s="4126" t="str">
        <f>'Part I-Project Identification'!$A$6</f>
        <v>May 12 2022 Core Application</v>
      </c>
      <c r="F5" s="4126"/>
      <c r="G5" s="4126"/>
      <c r="H5" s="4126"/>
      <c r="I5" s="4126"/>
      <c r="J5" s="633"/>
      <c r="K5" s="2385"/>
      <c r="L5" s="2386" t="s">
        <v>6537</v>
      </c>
      <c r="M5" s="2387" t="str">
        <f>'Part I-Project Identification'!$F$12</f>
        <v>9% Credit Competitive Round only</v>
      </c>
      <c r="N5" s="2388"/>
      <c r="O5" s="2389"/>
      <c r="P5" s="4129"/>
      <c r="Q5" s="4176"/>
      <c r="R5" s="2383"/>
      <c r="S5" s="2383"/>
    </row>
    <row r="6" spans="1:32" ht="17.25" customHeight="1">
      <c r="A6" s="126" t="s">
        <v>6536</v>
      </c>
      <c r="I6" s="633"/>
      <c r="J6" s="633"/>
      <c r="K6" s="4124" t="s">
        <v>3282</v>
      </c>
      <c r="L6" s="4124"/>
      <c r="M6" s="4124"/>
      <c r="N6" s="4124"/>
      <c r="O6" s="4125"/>
      <c r="P6" s="4119"/>
      <c r="Q6" s="4120"/>
      <c r="R6" s="2381"/>
      <c r="S6" s="2381"/>
    </row>
    <row r="7" spans="1:32" ht="12.6" customHeight="1">
      <c r="A7" s="127" t="s">
        <v>3069</v>
      </c>
      <c r="C7" s="128"/>
      <c r="D7" s="128"/>
      <c r="H7" s="1274"/>
      <c r="I7" s="2382"/>
      <c r="J7" s="2382"/>
      <c r="K7" s="1274"/>
      <c r="L7" s="1274"/>
      <c r="M7" s="1132"/>
      <c r="N7" s="1132"/>
    </row>
    <row r="8" spans="1:32" ht="23.25" customHeight="1">
      <c r="A8" s="4121" t="s">
        <v>1330</v>
      </c>
      <c r="B8" s="4122"/>
      <c r="C8" s="4122"/>
      <c r="D8" s="4122"/>
      <c r="E8" s="4122"/>
      <c r="F8" s="4122"/>
      <c r="G8" s="4122"/>
      <c r="H8" s="4122"/>
      <c r="I8" s="4122"/>
      <c r="J8" s="4122"/>
      <c r="K8" s="4122"/>
      <c r="L8" s="4122"/>
      <c r="M8" s="4122"/>
      <c r="N8" s="4122"/>
      <c r="O8" s="4122"/>
      <c r="P8" s="4122"/>
      <c r="Q8" s="4123"/>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6640</v>
      </c>
      <c r="C27" s="131"/>
      <c r="D27" s="87"/>
      <c r="E27" s="87"/>
      <c r="F27" s="87"/>
      <c r="G27" s="87"/>
      <c r="I27" s="1139"/>
      <c r="J27" s="1139"/>
      <c r="K27" s="1139"/>
      <c r="L27" s="1132"/>
      <c r="M27" s="1132"/>
      <c r="O27" s="132" t="s">
        <v>1731</v>
      </c>
      <c r="P27" s="4005"/>
      <c r="Q27" s="4006"/>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3" t="s">
        <v>7016</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5"/>
      <c r="B32" s="4115"/>
      <c r="C32" s="4115"/>
      <c r="D32" s="4115"/>
      <c r="E32" s="4115"/>
      <c r="F32" s="4115"/>
      <c r="G32" s="4115"/>
      <c r="H32" s="4115"/>
      <c r="I32" s="4115"/>
      <c r="J32" s="4115"/>
      <c r="K32" s="4115"/>
      <c r="L32" s="4115"/>
      <c r="M32" s="4115"/>
      <c r="N32" s="4115"/>
      <c r="O32" s="4115"/>
      <c r="P32" s="4115"/>
      <c r="Q32" s="411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6648</v>
      </c>
      <c r="C35" s="4"/>
      <c r="D35" s="4"/>
      <c r="E35" s="2046"/>
      <c r="F35" s="2046"/>
      <c r="H35" s="1133"/>
      <c r="J35" s="3318" t="s">
        <v>6932</v>
      </c>
      <c r="K35" s="3319"/>
      <c r="L35" s="3320"/>
      <c r="M35" s="509" t="s">
        <v>1648</v>
      </c>
      <c r="N35" s="3995"/>
      <c r="O35" s="3996"/>
      <c r="P35" s="3996"/>
      <c r="Q35" s="3997"/>
    </row>
    <row r="36" spans="1:31" ht="12.75" customHeight="1">
      <c r="A36" s="2197"/>
      <c r="B36" s="140" t="s">
        <v>6647</v>
      </c>
      <c r="C36" s="4"/>
      <c r="D36" s="4"/>
      <c r="E36" s="2198"/>
      <c r="F36" s="2198"/>
      <c r="G36" s="2195"/>
      <c r="H36" s="2046"/>
      <c r="J36" s="3318" t="s">
        <v>6470</v>
      </c>
      <c r="K36" s="3319"/>
      <c r="L36" s="3320"/>
      <c r="M36" s="509" t="s">
        <v>1648</v>
      </c>
      <c r="N36" s="3995"/>
      <c r="O36" s="3996"/>
      <c r="P36" s="3996"/>
      <c r="Q36" s="3997"/>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13" t="s">
        <v>6956</v>
      </c>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3792</v>
      </c>
      <c r="M40" s="1672" t="s">
        <v>3793</v>
      </c>
      <c r="O40" s="132" t="s">
        <v>1731</v>
      </c>
      <c r="P40" s="4005"/>
      <c r="Q40" s="4006"/>
    </row>
    <row r="41" spans="1:31" ht="1.5" customHeight="1"/>
    <row r="42" spans="1:31" ht="12" customHeight="1">
      <c r="A42" s="142" t="s">
        <v>1842</v>
      </c>
      <c r="B42" s="3998" t="s">
        <v>3787</v>
      </c>
      <c r="C42" s="3998"/>
      <c r="D42" s="3998"/>
      <c r="E42" s="3998"/>
      <c r="F42" s="3998"/>
      <c r="G42" s="3998"/>
      <c r="H42" s="3998"/>
      <c r="I42" s="3998"/>
      <c r="J42" s="3998"/>
      <c r="K42" s="148"/>
      <c r="L42" s="459" t="s">
        <v>2582</v>
      </c>
      <c r="M42" s="1522">
        <v>2</v>
      </c>
      <c r="N42" s="416" t="s">
        <v>4024</v>
      </c>
      <c r="P42" s="4153" t="s">
        <v>6933</v>
      </c>
      <c r="Q42" s="4163"/>
    </row>
    <row r="43" spans="1:31" ht="12" customHeight="1">
      <c r="A43" s="142"/>
      <c r="B43" s="3998"/>
      <c r="C43" s="3998"/>
      <c r="D43" s="3998"/>
      <c r="E43" s="3998"/>
      <c r="F43" s="3998"/>
      <c r="G43" s="3998"/>
      <c r="H43" s="3998"/>
      <c r="I43" s="3998"/>
      <c r="J43" s="3998"/>
      <c r="K43" s="148"/>
      <c r="L43" s="459" t="s">
        <v>3791</v>
      </c>
      <c r="M43" s="1523">
        <v>4</v>
      </c>
      <c r="O43" s="143"/>
      <c r="P43" s="4154"/>
      <c r="Q43" s="4164"/>
    </row>
    <row r="44" spans="1:31" ht="12" customHeight="1">
      <c r="A44" s="142"/>
      <c r="D44" s="1985"/>
      <c r="E44" s="1985"/>
      <c r="F44" s="1985"/>
      <c r="G44" s="1985"/>
      <c r="H44" s="1985"/>
      <c r="I44" s="1985"/>
      <c r="J44" s="1985"/>
      <c r="K44" s="148"/>
      <c r="L44" s="491" t="s">
        <v>6166</v>
      </c>
      <c r="M44" s="1523"/>
      <c r="O44" s="143"/>
      <c r="P44" s="1997">
        <v>4</v>
      </c>
      <c r="Q44" s="1998"/>
    </row>
    <row r="45" spans="1:31" ht="12" customHeight="1">
      <c r="A45" s="47" t="s">
        <v>1844</v>
      </c>
      <c r="B45" s="416" t="s">
        <v>3794</v>
      </c>
      <c r="C45" s="416"/>
      <c r="D45" s="416"/>
      <c r="E45" s="416"/>
      <c r="F45" s="416"/>
      <c r="G45" s="416"/>
      <c r="H45" s="416"/>
      <c r="I45" s="416"/>
      <c r="J45" s="416"/>
      <c r="K45" s="597"/>
      <c r="L45" s="416"/>
      <c r="M45" s="148"/>
      <c r="N45" s="918"/>
      <c r="O45" s="918"/>
      <c r="P45" s="918"/>
    </row>
    <row r="46" spans="1:31" ht="12.75" customHeight="1">
      <c r="A46" s="1482"/>
      <c r="B46" s="1546" t="s">
        <v>1615</v>
      </c>
      <c r="C46" s="416" t="s">
        <v>3798</v>
      </c>
      <c r="D46" s="1486"/>
      <c r="E46" s="1486"/>
      <c r="F46" s="1486"/>
      <c r="G46" s="1486"/>
      <c r="H46" s="1486"/>
      <c r="I46" s="1486"/>
      <c r="J46" s="1486"/>
      <c r="K46" s="1485"/>
      <c r="L46" s="917"/>
      <c r="N46" s="416" t="s">
        <v>4025</v>
      </c>
      <c r="O46" s="918"/>
      <c r="P46" s="230" t="s">
        <v>6934</v>
      </c>
      <c r="Q46" s="549"/>
    </row>
    <row r="47" spans="1:31" ht="12.75" customHeight="1">
      <c r="A47" s="1482"/>
      <c r="B47" s="1546" t="s">
        <v>1616</v>
      </c>
      <c r="C47" s="416" t="s">
        <v>3795</v>
      </c>
      <c r="D47" s="1486"/>
      <c r="E47" s="1486"/>
      <c r="F47" s="1486"/>
      <c r="G47" s="1486"/>
      <c r="H47" s="1486"/>
      <c r="I47" s="1486"/>
      <c r="J47" s="1486"/>
      <c r="K47" s="1485"/>
      <c r="L47" s="917"/>
      <c r="N47" s="416" t="s">
        <v>4026</v>
      </c>
      <c r="O47" s="918"/>
      <c r="P47" s="389" t="s">
        <v>6933</v>
      </c>
      <c r="Q47" s="550"/>
    </row>
    <row r="48" spans="1:31" ht="12.75" customHeight="1">
      <c r="A48" s="1481"/>
      <c r="B48" s="491" t="s">
        <v>1617</v>
      </c>
      <c r="C48" s="416" t="s">
        <v>3796</v>
      </c>
      <c r="E48" s="1486"/>
      <c r="F48" s="1486"/>
      <c r="G48" s="1486"/>
      <c r="H48" s="1486"/>
      <c r="I48" s="1486"/>
      <c r="J48" s="1486"/>
      <c r="K48" s="1485"/>
      <c r="L48" s="917"/>
      <c r="M48" s="918"/>
      <c r="N48" s="416" t="s">
        <v>4027</v>
      </c>
      <c r="O48" s="918"/>
      <c r="P48" s="389" t="s">
        <v>6933</v>
      </c>
      <c r="Q48" s="550"/>
    </row>
    <row r="49" spans="1:31" ht="12.75" customHeight="1">
      <c r="A49" s="144"/>
      <c r="B49" s="491" t="s">
        <v>2183</v>
      </c>
      <c r="C49" s="491" t="s">
        <v>3799</v>
      </c>
      <c r="D49" s="134"/>
      <c r="E49" s="134"/>
      <c r="F49" s="134"/>
      <c r="G49" s="134"/>
      <c r="H49" s="134"/>
      <c r="I49" s="42"/>
      <c r="J49" s="42"/>
      <c r="N49" s="416" t="s">
        <v>4028</v>
      </c>
      <c r="O49" s="918"/>
      <c r="P49" s="231" t="s">
        <v>6935</v>
      </c>
      <c r="Q49" s="551"/>
    </row>
    <row r="50" spans="1:31" ht="12.75" customHeight="1">
      <c r="A50" s="144"/>
      <c r="B50" s="491"/>
      <c r="C50" s="416" t="s">
        <v>3800</v>
      </c>
      <c r="D50" s="134"/>
      <c r="E50" s="134"/>
      <c r="F50" s="134"/>
      <c r="G50" s="134"/>
      <c r="H50" s="134"/>
      <c r="I50" s="42"/>
      <c r="J50" s="42"/>
      <c r="L50" s="4022"/>
      <c r="M50" s="4023"/>
      <c r="N50" s="4023"/>
      <c r="O50" s="4023"/>
      <c r="P50" s="4023"/>
      <c r="Q50" s="4101"/>
    </row>
    <row r="51" spans="1:31" ht="12.75" customHeight="1">
      <c r="A51" s="144"/>
      <c r="B51" s="491" t="s">
        <v>1449</v>
      </c>
      <c r="C51" s="3998" t="s">
        <v>3797</v>
      </c>
      <c r="D51" s="3998"/>
      <c r="E51" s="3998"/>
      <c r="F51" s="3998"/>
      <c r="G51" s="3998"/>
      <c r="H51" s="3998"/>
      <c r="I51" s="3998"/>
      <c r="J51" s="3998"/>
      <c r="K51" s="3998"/>
      <c r="L51" s="3998"/>
      <c r="M51" s="543"/>
      <c r="N51" s="416" t="s">
        <v>4029</v>
      </c>
      <c r="O51" s="918"/>
      <c r="P51" s="492" t="s">
        <v>6933</v>
      </c>
      <c r="Q51" s="548"/>
    </row>
    <row r="52" spans="1:31" ht="12.75" customHeight="1">
      <c r="A52" s="47"/>
      <c r="C52" s="3998"/>
      <c r="D52" s="3998"/>
      <c r="E52" s="3998"/>
      <c r="F52" s="3998"/>
      <c r="G52" s="3998"/>
      <c r="H52" s="3998"/>
      <c r="I52" s="3998"/>
      <c r="J52" s="3998"/>
      <c r="K52" s="3998"/>
      <c r="L52" s="3998"/>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10.5" customHeight="1">
      <c r="A54" s="4013" t="s">
        <v>6957</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4022</v>
      </c>
      <c r="C56" s="1138"/>
      <c r="D56" s="1133"/>
      <c r="E56" s="1133"/>
      <c r="F56" s="1133"/>
      <c r="G56" s="1133"/>
      <c r="H56" s="1690" t="str">
        <f>'Part I-Project Identification'!$K$32</f>
        <v>Rural</v>
      </c>
      <c r="J56" s="2390" t="s">
        <v>6641</v>
      </c>
      <c r="K56" s="967" t="str">
        <f>'Part VIII Scoring Criteria'!$M$59</f>
        <v>Rural</v>
      </c>
      <c r="L56" s="2391" t="s">
        <v>3824</v>
      </c>
      <c r="M56" s="2115" t="str">
        <f>J35</f>
        <v>HFOP</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6936</v>
      </c>
      <c r="N58" s="4027"/>
      <c r="O58" s="4027"/>
      <c r="P58" s="4114"/>
      <c r="Q58" s="549"/>
    </row>
    <row r="59" spans="1:31" ht="12.75" customHeight="1">
      <c r="A59" s="47" t="s">
        <v>1844</v>
      </c>
      <c r="B59" s="52" t="s">
        <v>3949</v>
      </c>
      <c r="D59" s="134"/>
      <c r="E59" s="134"/>
      <c r="F59" s="134"/>
      <c r="L59" s="478" t="s">
        <v>1844</v>
      </c>
      <c r="M59" s="4151" t="s">
        <v>6958</v>
      </c>
      <c r="N59" s="4152"/>
      <c r="O59" s="4152"/>
      <c r="P59" s="3512"/>
      <c r="Q59" s="550"/>
    </row>
    <row r="60" spans="1:31" ht="12.75" customHeight="1">
      <c r="A60" s="47" t="s">
        <v>698</v>
      </c>
      <c r="B60" s="52" t="s">
        <v>2559</v>
      </c>
      <c r="D60" s="134"/>
      <c r="E60" s="134"/>
      <c r="F60" s="134"/>
      <c r="L60" s="478" t="s">
        <v>698</v>
      </c>
      <c r="M60" s="4147">
        <v>0.98699999999999999</v>
      </c>
      <c r="N60" s="4148"/>
      <c r="O60" s="4148"/>
      <c r="P60" s="4149"/>
      <c r="Q60" s="550"/>
    </row>
    <row r="61" spans="1:31" ht="12.75" customHeight="1">
      <c r="A61" s="47" t="s">
        <v>1963</v>
      </c>
      <c r="B61" s="52" t="s">
        <v>3305</v>
      </c>
      <c r="D61" s="134"/>
      <c r="E61" s="134"/>
      <c r="F61" s="134"/>
      <c r="J61" s="478" t="s">
        <v>3306</v>
      </c>
      <c r="K61" s="1957">
        <v>0.26900000000000002</v>
      </c>
      <c r="L61" s="1954"/>
      <c r="M61" s="1956"/>
      <c r="N61" s="1955"/>
      <c r="O61" s="1115" t="s">
        <v>3391</v>
      </c>
      <c r="P61" s="1116" t="s">
        <v>6935</v>
      </c>
      <c r="Q61" s="1953"/>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6970</v>
      </c>
      <c r="E64" s="4041" t="s">
        <v>6971</v>
      </c>
      <c r="F64" s="4041"/>
      <c r="G64" s="4041"/>
      <c r="H64" s="478" t="s">
        <v>2183</v>
      </c>
      <c r="I64" s="505" t="s">
        <v>6976</v>
      </c>
      <c r="J64" s="4041" t="s">
        <v>6977</v>
      </c>
      <c r="K64" s="4041"/>
      <c r="L64" s="4041"/>
      <c r="M64" s="64" t="s">
        <v>93</v>
      </c>
      <c r="N64" s="505" t="s">
        <v>6980</v>
      </c>
      <c r="O64" s="4041" t="s">
        <v>6981</v>
      </c>
      <c r="P64" s="4041"/>
      <c r="Q64" s="4041"/>
    </row>
    <row r="65" spans="1:32" ht="12.75" customHeight="1">
      <c r="C65" s="65" t="s">
        <v>1616</v>
      </c>
      <c r="D65" s="2330" t="s">
        <v>6972</v>
      </c>
      <c r="E65" s="4042" t="s">
        <v>6973</v>
      </c>
      <c r="F65" s="4042"/>
      <c r="G65" s="4042"/>
      <c r="H65" s="64" t="s">
        <v>1449</v>
      </c>
      <c r="I65" s="2330" t="s">
        <v>6978</v>
      </c>
      <c r="J65" s="4042" t="s">
        <v>6979</v>
      </c>
      <c r="K65" s="4042"/>
      <c r="L65" s="4042"/>
      <c r="M65" s="64" t="s">
        <v>481</v>
      </c>
      <c r="N65" s="2330" t="s">
        <v>6982</v>
      </c>
      <c r="O65" s="4042" t="s">
        <v>6983</v>
      </c>
      <c r="P65" s="4042"/>
      <c r="Q65" s="4042"/>
    </row>
    <row r="66" spans="1:32" ht="12.75" customHeight="1">
      <c r="C66" s="65" t="s">
        <v>1617</v>
      </c>
      <c r="D66" s="506" t="s">
        <v>6975</v>
      </c>
      <c r="E66" s="4043" t="s">
        <v>6974</v>
      </c>
      <c r="F66" s="4043"/>
      <c r="G66" s="4043"/>
      <c r="H66" s="64" t="s">
        <v>1450</v>
      </c>
      <c r="I66" s="506" t="s">
        <v>6984</v>
      </c>
      <c r="J66" s="4043" t="s">
        <v>6985</v>
      </c>
      <c r="K66" s="4043"/>
      <c r="L66" s="4043"/>
      <c r="M66" s="64" t="s">
        <v>482</v>
      </c>
      <c r="N66" s="506" t="s">
        <v>6986</v>
      </c>
      <c r="O66" s="4043" t="s">
        <v>6987</v>
      </c>
      <c r="P66" s="4043"/>
      <c r="Q66" s="4043"/>
    </row>
    <row r="67" spans="1:32" ht="12.75" customHeight="1">
      <c r="A67" s="47" t="s">
        <v>1614</v>
      </c>
      <c r="B67" s="52" t="s">
        <v>6109</v>
      </c>
      <c r="D67" s="134"/>
      <c r="E67" s="134"/>
      <c r="F67" s="134"/>
      <c r="G67" s="134"/>
      <c r="H67" s="134"/>
      <c r="I67" s="42"/>
      <c r="J67" s="42"/>
      <c r="K67" s="134"/>
      <c r="L67" s="1135"/>
      <c r="M67" s="1135"/>
      <c r="O67" s="478" t="s">
        <v>1614</v>
      </c>
      <c r="P67" s="1622" t="s">
        <v>2651</v>
      </c>
      <c r="Q67" s="1623"/>
    </row>
    <row r="68" spans="1:32" ht="12.75" customHeight="1">
      <c r="A68" s="47" t="s">
        <v>1808</v>
      </c>
      <c r="B68" s="52" t="s">
        <v>6110</v>
      </c>
      <c r="D68" s="134"/>
      <c r="E68" s="134"/>
      <c r="F68" s="134"/>
      <c r="G68" s="134"/>
      <c r="H68" s="134"/>
      <c r="I68" s="42"/>
      <c r="J68" s="42"/>
      <c r="K68" s="134"/>
      <c r="L68" s="1935"/>
      <c r="M68" s="1935"/>
      <c r="O68" s="478" t="s">
        <v>1808</v>
      </c>
      <c r="P68" s="389" t="s">
        <v>2651</v>
      </c>
      <c r="Q68" s="550"/>
    </row>
    <row r="69" spans="1:32" ht="10.5" customHeight="1">
      <c r="A69" s="47" t="s">
        <v>3006</v>
      </c>
      <c r="B69" s="52" t="s">
        <v>6111</v>
      </c>
      <c r="D69" s="134"/>
      <c r="E69" s="134"/>
      <c r="F69" s="134"/>
      <c r="G69" s="134"/>
      <c r="H69" s="134"/>
      <c r="I69" s="42"/>
      <c r="J69" s="42"/>
      <c r="K69" s="134"/>
      <c r="L69" s="1935"/>
      <c r="M69" s="1935"/>
      <c r="O69" s="478" t="s">
        <v>3006</v>
      </c>
      <c r="P69" s="1116">
        <v>0.95</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34.5" customHeight="1">
      <c r="A71" s="4013" t="s">
        <v>6988</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4030</v>
      </c>
      <c r="C76" s="52"/>
      <c r="E76" s="52"/>
      <c r="F76" s="52"/>
      <c r="G76" s="52"/>
      <c r="H76" s="52"/>
      <c r="I76" s="52"/>
      <c r="J76" s="52"/>
      <c r="K76" s="52"/>
      <c r="L76" s="878"/>
      <c r="M76" s="878"/>
      <c r="O76" s="478" t="s">
        <v>1842</v>
      </c>
      <c r="P76" s="492" t="s">
        <v>2651</v>
      </c>
      <c r="Q76" s="1623"/>
    </row>
    <row r="77" spans="1:32" ht="12.75" customHeight="1">
      <c r="B77" s="1546" t="s">
        <v>1615</v>
      </c>
      <c r="C77" s="39" t="s">
        <v>515</v>
      </c>
      <c r="E77" s="42"/>
      <c r="F77" s="42"/>
      <c r="G77" s="42"/>
      <c r="H77" s="42"/>
      <c r="I77" s="42"/>
      <c r="L77" s="65" t="s">
        <v>516</v>
      </c>
      <c r="M77" s="4022" t="s">
        <v>6936</v>
      </c>
      <c r="N77" s="4023"/>
      <c r="O77" s="4023"/>
      <c r="P77" s="4024"/>
      <c r="Q77" s="550"/>
    </row>
    <row r="78" spans="1:32" s="42" customFormat="1" ht="12.75" customHeight="1">
      <c r="B78" s="146" t="s">
        <v>1616</v>
      </c>
      <c r="C78" s="36" t="s">
        <v>3839</v>
      </c>
      <c r="O78" s="65" t="s">
        <v>1616</v>
      </c>
      <c r="P78" s="1622" t="s">
        <v>2651</v>
      </c>
      <c r="Q78" s="1623"/>
      <c r="AE78" s="50"/>
      <c r="AF78" s="50"/>
    </row>
    <row r="79" spans="1:32" s="42" customFormat="1" ht="12.75" customHeight="1">
      <c r="B79" s="1546" t="s">
        <v>1617</v>
      </c>
      <c r="C79" s="36" t="s">
        <v>4057</v>
      </c>
      <c r="O79" s="150" t="s">
        <v>1617</v>
      </c>
      <c r="P79" s="1776" t="s">
        <v>6959</v>
      </c>
      <c r="Q79" s="1777"/>
      <c r="AE79" s="50"/>
      <c r="AF79" s="50"/>
    </row>
    <row r="80" spans="1:32" ht="12.75" customHeight="1">
      <c r="A80" s="1478"/>
      <c r="B80" s="491" t="s">
        <v>2183</v>
      </c>
      <c r="C80" s="878" t="s">
        <v>3801</v>
      </c>
      <c r="D80" s="1010"/>
      <c r="E80" s="1010"/>
      <c r="F80" s="1010"/>
      <c r="G80" s="1010"/>
      <c r="H80" s="1010"/>
      <c r="I80" s="1010"/>
      <c r="J80" s="1010"/>
      <c r="K80" s="1010"/>
      <c r="L80" s="1010"/>
      <c r="M80" s="1010"/>
      <c r="O80" s="163" t="s">
        <v>2183</v>
      </c>
      <c r="P80" s="1000" t="s">
        <v>2651</v>
      </c>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t="s">
        <v>2651</v>
      </c>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t="s">
        <v>2651</v>
      </c>
      <c r="Q82" s="550"/>
    </row>
    <row r="83" spans="1:32" ht="12.75" customHeight="1">
      <c r="A83" s="1139"/>
      <c r="B83" s="491" t="s">
        <v>93</v>
      </c>
      <c r="C83" s="878" t="s">
        <v>2560</v>
      </c>
      <c r="D83" s="878"/>
      <c r="E83" s="878"/>
      <c r="F83" s="878"/>
      <c r="G83" s="878"/>
      <c r="H83" s="878"/>
      <c r="I83" s="878"/>
      <c r="J83" s="878"/>
      <c r="K83" s="878"/>
      <c r="L83" s="878"/>
      <c r="M83" s="1177"/>
      <c r="O83" s="163" t="s">
        <v>93</v>
      </c>
      <c r="P83" s="389" t="s">
        <v>2651</v>
      </c>
      <c r="Q83" s="550"/>
    </row>
    <row r="84" spans="1:32" s="133" customFormat="1" ht="23.25" customHeight="1">
      <c r="A84" s="459"/>
      <c r="B84" s="491" t="s">
        <v>481</v>
      </c>
      <c r="C84" s="4003" t="s">
        <v>3952</v>
      </c>
      <c r="D84" s="4003"/>
      <c r="E84" s="4003"/>
      <c r="F84" s="4003"/>
      <c r="G84" s="4003"/>
      <c r="H84" s="4003"/>
      <c r="I84" s="4003"/>
      <c r="J84" s="4003"/>
      <c r="K84" s="4003"/>
      <c r="L84" s="4003"/>
      <c r="M84" s="4003"/>
      <c r="N84" s="4003"/>
      <c r="O84" s="163" t="s">
        <v>481</v>
      </c>
      <c r="P84" s="1770" t="s">
        <v>907</v>
      </c>
      <c r="Q84" s="1771"/>
      <c r="AE84" s="481"/>
      <c r="AF84" s="481"/>
    </row>
    <row r="85" spans="1:32" ht="12.75" customHeight="1">
      <c r="A85" s="47" t="s">
        <v>1844</v>
      </c>
      <c r="B85" s="52" t="s">
        <v>3951</v>
      </c>
      <c r="C85" s="52"/>
      <c r="E85" s="52"/>
      <c r="F85" s="52"/>
      <c r="G85" s="52"/>
      <c r="H85" s="52"/>
      <c r="I85" s="52"/>
      <c r="J85" s="52"/>
      <c r="K85" s="52"/>
      <c r="L85" s="52"/>
      <c r="M85" s="52"/>
      <c r="O85" s="478" t="s">
        <v>1844</v>
      </c>
      <c r="P85" s="1622" t="s">
        <v>2651</v>
      </c>
      <c r="Q85" s="1623"/>
    </row>
    <row r="86" spans="1:32" ht="12.75" customHeight="1">
      <c r="B86" s="1546" t="s">
        <v>1615</v>
      </c>
      <c r="C86" s="52" t="s">
        <v>4076</v>
      </c>
      <c r="D86" s="52"/>
      <c r="E86" s="52"/>
      <c r="F86" s="52"/>
      <c r="G86" s="52"/>
      <c r="H86" s="52"/>
      <c r="I86" s="52"/>
      <c r="J86" s="52"/>
      <c r="K86" s="52"/>
      <c r="L86" s="52"/>
      <c r="M86" s="52"/>
      <c r="O86" s="150" t="s">
        <v>1615</v>
      </c>
      <c r="P86" s="1622" t="s">
        <v>2651</v>
      </c>
      <c r="Q86" s="1623"/>
    </row>
    <row r="87" spans="1:32" ht="12.75" customHeight="1">
      <c r="A87" s="47"/>
      <c r="B87" s="146" t="s">
        <v>1616</v>
      </c>
      <c r="C87" s="52" t="s">
        <v>4075</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3" t="s">
        <v>7024</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2425</v>
      </c>
      <c r="C92" s="40"/>
      <c r="D92" s="1133"/>
      <c r="E92" s="1133"/>
      <c r="F92" s="1133"/>
      <c r="G92" s="1133"/>
      <c r="H92" s="1133"/>
      <c r="I92" s="1133"/>
      <c r="J92" s="1133"/>
      <c r="K92" s="1133"/>
      <c r="L92" s="1133"/>
      <c r="M92" s="1133"/>
      <c r="N92" s="1091" t="s">
        <v>6539</v>
      </c>
      <c r="O92" s="132" t="s">
        <v>1731</v>
      </c>
      <c r="P92" s="4005"/>
      <c r="Q92" s="4006"/>
      <c r="R92" s="1147" t="s">
        <v>6526</v>
      </c>
    </row>
    <row r="93" spans="1:32" ht="6.6" customHeight="1"/>
    <row r="94" spans="1:32">
      <c r="A94" s="47" t="s">
        <v>1842</v>
      </c>
      <c r="B94" s="52" t="s">
        <v>6191</v>
      </c>
      <c r="D94" s="134"/>
      <c r="E94" s="134"/>
      <c r="F94" s="134"/>
      <c r="G94" s="134"/>
      <c r="H94" s="134"/>
      <c r="I94" s="42"/>
      <c r="J94" s="42"/>
      <c r="K94" s="478" t="s">
        <v>1842</v>
      </c>
      <c r="L94" s="4044" t="s">
        <v>7021</v>
      </c>
      <c r="M94" s="4044"/>
      <c r="N94" s="4044"/>
      <c r="O94" s="4044"/>
      <c r="P94" s="4045"/>
      <c r="Q94" s="2365"/>
    </row>
    <row r="95" spans="1:32" ht="12" customHeight="1">
      <c r="B95" s="55" t="s">
        <v>6631</v>
      </c>
      <c r="O95" s="65" t="s">
        <v>1616</v>
      </c>
      <c r="P95" s="2360" t="s">
        <v>2654</v>
      </c>
      <c r="Q95" s="550"/>
    </row>
    <row r="96" spans="1:32" ht="12" customHeight="1">
      <c r="B96" s="55" t="s">
        <v>6527</v>
      </c>
      <c r="I96" s="55" t="s">
        <v>6529</v>
      </c>
      <c r="K96" s="2373">
        <v>44653</v>
      </c>
      <c r="L96" s="2374"/>
      <c r="N96" s="55" t="s">
        <v>6528</v>
      </c>
      <c r="P96" s="2371">
        <v>44701</v>
      </c>
      <c r="Q96" s="2372"/>
    </row>
    <row r="97" spans="1:17" ht="12" customHeight="1">
      <c r="A97" s="47" t="s">
        <v>1844</v>
      </c>
      <c r="B97" s="52" t="s">
        <v>6638</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165" t="s">
        <v>7021</v>
      </c>
      <c r="M99" s="4165"/>
      <c r="N99" s="4165"/>
      <c r="O99" s="4165"/>
      <c r="P99" s="416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7022</v>
      </c>
      <c r="Q100" s="921"/>
    </row>
    <row r="101" spans="1:17" ht="12" customHeight="1">
      <c r="A101" s="139"/>
      <c r="B101" s="40" t="s">
        <v>1617</v>
      </c>
      <c r="C101" s="36" t="s">
        <v>3788</v>
      </c>
      <c r="D101" s="148"/>
      <c r="E101" s="42"/>
      <c r="F101" s="42"/>
      <c r="G101" s="42"/>
      <c r="H101" s="52"/>
      <c r="I101" s="42"/>
      <c r="J101" s="42"/>
      <c r="K101" s="134"/>
      <c r="L101" s="1475"/>
      <c r="M101" s="1475"/>
      <c r="O101" s="478" t="s">
        <v>1617</v>
      </c>
      <c r="P101" s="231" t="s">
        <v>6935</v>
      </c>
      <c r="Q101" s="551"/>
    </row>
    <row r="102" spans="1:17" s="1822" customFormat="1" ht="12" customHeight="1">
      <c r="A102" s="2058" t="s">
        <v>1963</v>
      </c>
      <c r="B102" s="2140" t="s">
        <v>6624</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6626</v>
      </c>
      <c r="E105" s="2056" t="s">
        <v>2241</v>
      </c>
      <c r="F105" s="2140" t="s">
        <v>6627</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6628</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2651</v>
      </c>
      <c r="Q107" s="2143"/>
    </row>
    <row r="108" spans="1:17" s="1822" customFormat="1" ht="12" customHeight="1">
      <c r="A108" s="2058"/>
      <c r="B108" s="2056"/>
      <c r="C108" s="2140" t="s">
        <v>6626</v>
      </c>
      <c r="E108" s="2056" t="s">
        <v>2241</v>
      </c>
      <c r="F108" s="2140" t="s">
        <v>6629</v>
      </c>
      <c r="G108" s="2060"/>
      <c r="H108" s="2140"/>
      <c r="I108" s="2060"/>
      <c r="J108" s="2060"/>
      <c r="K108" s="2449"/>
      <c r="L108" s="2141"/>
      <c r="O108" s="2056" t="s">
        <v>2241</v>
      </c>
      <c r="P108" s="2483">
        <v>0.3</v>
      </c>
      <c r="Q108" s="2484"/>
    </row>
    <row r="109" spans="1:17" s="1822" customFormat="1" ht="12" customHeight="1">
      <c r="A109" s="2058"/>
      <c r="B109" s="2056"/>
      <c r="E109" s="2056" t="s">
        <v>2242</v>
      </c>
      <c r="F109" s="2140" t="s">
        <v>6630</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2651</v>
      </c>
      <c r="G111" s="1623"/>
      <c r="H111" s="478" t="s">
        <v>3861</v>
      </c>
      <c r="I111" s="52" t="s">
        <v>2502</v>
      </c>
      <c r="J111" s="2362" t="s">
        <v>2654</v>
      </c>
      <c r="K111" s="1623"/>
      <c r="L111" s="478" t="s">
        <v>3865</v>
      </c>
      <c r="M111" s="140" t="s">
        <v>6196</v>
      </c>
      <c r="P111" s="2362" t="s">
        <v>2654</v>
      </c>
      <c r="Q111" s="1623"/>
    </row>
    <row r="112" spans="1:17" ht="12.75" customHeight="1">
      <c r="B112" s="146" t="s">
        <v>1616</v>
      </c>
      <c r="C112" s="52" t="s">
        <v>6192</v>
      </c>
      <c r="E112" s="134"/>
      <c r="F112" s="2360" t="s">
        <v>2654</v>
      </c>
      <c r="G112" s="550"/>
      <c r="H112" s="478" t="s">
        <v>3862</v>
      </c>
      <c r="I112" s="52" t="s">
        <v>6112</v>
      </c>
      <c r="J112" s="2360" t="s">
        <v>2654</v>
      </c>
      <c r="K112" s="550"/>
      <c r="L112" s="478" t="s">
        <v>3866</v>
      </c>
      <c r="M112" s="55" t="s">
        <v>3283</v>
      </c>
      <c r="O112" s="2045"/>
      <c r="P112" s="2360" t="s">
        <v>2654</v>
      </c>
      <c r="Q112" s="550"/>
    </row>
    <row r="113" spans="1:32" ht="12" customHeight="1">
      <c r="A113" s="36"/>
      <c r="B113" s="146" t="s">
        <v>1617</v>
      </c>
      <c r="C113" s="52" t="s">
        <v>6193</v>
      </c>
      <c r="E113" s="134"/>
      <c r="F113" s="2360" t="s">
        <v>2654</v>
      </c>
      <c r="G113" s="550"/>
      <c r="H113" s="478" t="s">
        <v>3863</v>
      </c>
      <c r="I113" s="52" t="s">
        <v>6113</v>
      </c>
      <c r="J113" s="2360" t="s">
        <v>2654</v>
      </c>
      <c r="K113" s="550"/>
      <c r="L113" s="478" t="s">
        <v>3867</v>
      </c>
      <c r="M113" s="52" t="s">
        <v>1451</v>
      </c>
      <c r="P113" s="2422" t="s">
        <v>2654</v>
      </c>
      <c r="Q113" s="550"/>
    </row>
    <row r="114" spans="1:32" ht="12" customHeight="1">
      <c r="A114" s="36"/>
      <c r="B114" s="146" t="s">
        <v>2183</v>
      </c>
      <c r="C114" s="55" t="s">
        <v>2416</v>
      </c>
      <c r="E114" s="134"/>
      <c r="F114" s="2363" t="s">
        <v>2654</v>
      </c>
      <c r="G114" s="551"/>
      <c r="H114" s="478" t="s">
        <v>3864</v>
      </c>
      <c r="I114" s="55" t="s">
        <v>6194</v>
      </c>
      <c r="J114" s="2363" t="s">
        <v>2654</v>
      </c>
      <c r="K114" s="551"/>
      <c r="L114" s="478" t="s">
        <v>6195</v>
      </c>
      <c r="M114" s="55" t="s">
        <v>6114</v>
      </c>
      <c r="P114" s="2363"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2" customHeight="1">
      <c r="A116" s="36"/>
      <c r="C116" s="4150" t="s">
        <v>2815</v>
      </c>
      <c r="D116" s="4150"/>
      <c r="E116" s="4150"/>
      <c r="F116" s="4150"/>
      <c r="G116" s="4150"/>
      <c r="H116" s="4150"/>
      <c r="I116" s="4150"/>
      <c r="J116" s="4150"/>
      <c r="K116" s="4150"/>
      <c r="L116" s="4150"/>
      <c r="M116" s="4150"/>
      <c r="N116" s="4150"/>
      <c r="O116" s="4150"/>
      <c r="P116" s="4150"/>
      <c r="Q116" s="4150"/>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3849</v>
      </c>
      <c r="E121" s="52"/>
      <c r="F121" s="52"/>
      <c r="G121" s="52"/>
      <c r="H121" s="52"/>
      <c r="I121" s="42"/>
      <c r="J121" s="42"/>
      <c r="K121" s="52"/>
      <c r="L121" s="52"/>
      <c r="M121" s="52"/>
      <c r="O121" s="478" t="s">
        <v>2183</v>
      </c>
      <c r="P121" s="231"/>
      <c r="Q121" s="551"/>
    </row>
    <row r="122" spans="1:32" ht="12" customHeight="1">
      <c r="A122" s="434" t="s">
        <v>3953</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1" t="s">
        <v>1647</v>
      </c>
      <c r="O123" s="4182"/>
      <c r="P123" s="4183" t="s">
        <v>1647</v>
      </c>
      <c r="Q123" s="4184"/>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13" t="s">
        <v>7023</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6539</v>
      </c>
      <c r="O130" s="132" t="s">
        <v>1731</v>
      </c>
      <c r="P130" s="4005"/>
      <c r="Q130" s="4006"/>
      <c r="R130" s="1147" t="s">
        <v>6526</v>
      </c>
    </row>
    <row r="131" spans="1:31" ht="12" customHeight="1">
      <c r="A131" s="47" t="s">
        <v>1842</v>
      </c>
      <c r="B131" s="146" t="s">
        <v>1615</v>
      </c>
      <c r="C131" s="52" t="s">
        <v>6541</v>
      </c>
      <c r="D131" s="52"/>
      <c r="E131" s="52"/>
      <c r="F131" s="52"/>
      <c r="G131" s="52"/>
      <c r="K131" s="52" t="s">
        <v>2461</v>
      </c>
      <c r="M131" s="4108">
        <v>45077</v>
      </c>
      <c r="N131" s="4109"/>
      <c r="O131" s="65" t="s">
        <v>1615</v>
      </c>
      <c r="P131" s="96" t="s">
        <v>2651</v>
      </c>
      <c r="Q131" s="547"/>
    </row>
    <row r="132" spans="1:31" ht="12" customHeight="1">
      <c r="A132" s="47"/>
      <c r="B132" s="146" t="s">
        <v>1616</v>
      </c>
      <c r="C132" s="52" t="s">
        <v>4058</v>
      </c>
      <c r="D132" s="52"/>
      <c r="E132" s="52"/>
      <c r="F132" s="52"/>
      <c r="G132" s="52"/>
      <c r="K132" s="52" t="s">
        <v>2461</v>
      </c>
      <c r="M132" s="4108"/>
      <c r="N132" s="4109"/>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0" t="s">
        <v>6946</v>
      </c>
      <c r="N133" s="4111"/>
      <c r="P133" s="4112" t="s">
        <v>1647</v>
      </c>
      <c r="Q133" s="4113"/>
    </row>
    <row r="134" spans="1:31" ht="12" customHeight="1">
      <c r="A134" s="47" t="s">
        <v>698</v>
      </c>
      <c r="B134" s="140" t="s">
        <v>636</v>
      </c>
      <c r="D134" s="140"/>
      <c r="E134" s="140"/>
      <c r="F134" s="140"/>
      <c r="G134" s="140"/>
      <c r="H134" s="140"/>
      <c r="J134" s="478" t="s">
        <v>698</v>
      </c>
      <c r="K134" s="4022" t="s">
        <v>6989</v>
      </c>
      <c r="L134" s="4023"/>
      <c r="M134" s="4023"/>
      <c r="N134" s="4023"/>
      <c r="O134" s="4023"/>
      <c r="P134" s="4101"/>
      <c r="Q134" s="547"/>
    </row>
    <row r="135" spans="1:31" ht="21.75" customHeight="1">
      <c r="A135" s="142" t="s">
        <v>1963</v>
      </c>
      <c r="B135" s="4003" t="s">
        <v>6197</v>
      </c>
      <c r="C135" s="4003"/>
      <c r="D135" s="4003"/>
      <c r="E135" s="4003"/>
      <c r="F135" s="4003"/>
      <c r="G135" s="4003"/>
      <c r="H135" s="4003"/>
      <c r="I135" s="4003"/>
      <c r="J135" s="4003"/>
      <c r="K135" s="4003"/>
      <c r="L135" s="4003"/>
      <c r="M135" s="4003"/>
      <c r="N135" s="4003"/>
      <c r="O135" s="163" t="s">
        <v>1963</v>
      </c>
      <c r="P135" s="1937" t="s">
        <v>6940</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45" customHeight="1">
      <c r="A137" s="4013" t="s">
        <v>6990</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3802</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3835</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45" customHeight="1">
      <c r="A147" s="4013" t="s">
        <v>6991</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2428</v>
      </c>
      <c r="C151" s="3900"/>
      <c r="D151" s="3900"/>
      <c r="E151" s="414"/>
      <c r="N151" s="1091" t="s">
        <v>6539</v>
      </c>
      <c r="O151" s="132" t="s">
        <v>1731</v>
      </c>
      <c r="P151" s="4005"/>
      <c r="Q151" s="4006"/>
      <c r="R151" s="1147" t="s">
        <v>6526</v>
      </c>
    </row>
    <row r="152" spans="1:44" s="27" customFormat="1" ht="11.4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6115</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3837</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6935</v>
      </c>
      <c r="Q160" s="552"/>
      <c r="AE160" s="481"/>
      <c r="AF160" s="481"/>
    </row>
    <row r="161" spans="1:44" s="133" customFormat="1" ht="21.75" customHeight="1">
      <c r="A161" s="142"/>
      <c r="B161" s="491" t="s">
        <v>1450</v>
      </c>
      <c r="C161" s="4003" t="s">
        <v>3307</v>
      </c>
      <c r="D161" s="4003"/>
      <c r="E161" s="4003"/>
      <c r="F161" s="4003"/>
      <c r="G161" s="4003"/>
      <c r="H161" s="4003"/>
      <c r="I161" s="4003"/>
      <c r="J161" s="4003"/>
      <c r="K161" s="4003"/>
      <c r="L161" s="4003"/>
      <c r="M161" s="4003"/>
      <c r="N161" s="4003"/>
      <c r="O161" s="163" t="s">
        <v>1450</v>
      </c>
      <c r="P161" s="561" t="s">
        <v>6935</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1.45" customHeight="1">
      <c r="A165" s="4013" t="s">
        <v>6992</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6539</v>
      </c>
      <c r="O169" s="132" t="s">
        <v>1731</v>
      </c>
      <c r="P169" s="4005"/>
      <c r="Q169" s="4006"/>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907</v>
      </c>
      <c r="K171" s="4027"/>
      <c r="L171" s="4027"/>
      <c r="M171" s="4027"/>
      <c r="N171" s="4028"/>
      <c r="O171" s="65" t="s">
        <v>1615</v>
      </c>
      <c r="P171" s="230" t="s">
        <v>2654</v>
      </c>
      <c r="Q171" s="549"/>
    </row>
    <row r="172" spans="1:44" ht="12.75" customHeight="1">
      <c r="A172" s="139"/>
      <c r="B172" s="141" t="s">
        <v>3241</v>
      </c>
      <c r="C172" s="105"/>
      <c r="D172" s="105"/>
      <c r="E172" s="105"/>
      <c r="F172" s="105"/>
      <c r="H172" s="65" t="s">
        <v>1616</v>
      </c>
      <c r="I172" s="52" t="s">
        <v>1492</v>
      </c>
      <c r="J172" s="4053" t="s">
        <v>6947</v>
      </c>
      <c r="K172" s="4054"/>
      <c r="L172" s="4054"/>
      <c r="M172" s="4054"/>
      <c r="N172" s="4055"/>
      <c r="O172" s="65" t="s">
        <v>1616</v>
      </c>
      <c r="P172" s="231" t="s">
        <v>2651</v>
      </c>
      <c r="Q172" s="551"/>
    </row>
    <row r="173" spans="1:44" ht="12.75" customHeight="1">
      <c r="A173" s="4013" t="s">
        <v>6993</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6539</v>
      </c>
      <c r="O177" s="132" t="s">
        <v>1731</v>
      </c>
      <c r="P177" s="4005"/>
      <c r="Q177" s="4006"/>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6921</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53" t="s">
        <v>6921</v>
      </c>
      <c r="K180" s="4054"/>
      <c r="L180" s="4054"/>
      <c r="M180" s="4054"/>
      <c r="N180" s="4055"/>
      <c r="O180" s="163" t="s">
        <v>1616</v>
      </c>
      <c r="P180" s="2315" t="s">
        <v>2651</v>
      </c>
      <c r="Q180" s="880"/>
    </row>
    <row r="181" spans="1:44" ht="12.75" customHeight="1">
      <c r="A181" s="47" t="s">
        <v>1844</v>
      </c>
      <c r="B181" s="146" t="s">
        <v>1615</v>
      </c>
      <c r="C181" s="52" t="s">
        <v>6508</v>
      </c>
      <c r="E181" s="52"/>
      <c r="F181" s="52"/>
      <c r="G181" s="52"/>
      <c r="H181" s="52"/>
      <c r="I181" s="52"/>
      <c r="J181" s="52"/>
      <c r="K181" s="42"/>
      <c r="L181" s="52"/>
      <c r="M181" s="52"/>
      <c r="O181" s="163" t="s">
        <v>6509</v>
      </c>
      <c r="P181" s="2356" t="s">
        <v>2654</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2654</v>
      </c>
      <c r="Q182" s="551"/>
    </row>
    <row r="183" spans="1:44" ht="12.75" customHeight="1">
      <c r="A183" s="47" t="s">
        <v>698</v>
      </c>
      <c r="B183" s="52" t="s">
        <v>6533</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12.75" customHeight="1">
      <c r="A185" s="4013" t="s">
        <v>6994</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4031</v>
      </c>
      <c r="D191" s="42"/>
      <c r="E191" s="42"/>
      <c r="F191" s="42"/>
      <c r="G191" s="42"/>
      <c r="H191" s="42"/>
      <c r="I191" s="42"/>
      <c r="J191" s="42"/>
      <c r="K191" s="42"/>
      <c r="L191" s="42"/>
      <c r="M191" s="42"/>
      <c r="O191" s="478" t="s">
        <v>1842</v>
      </c>
      <c r="P191" s="96" t="s">
        <v>6933</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6937</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161" t="s">
        <v>6938</v>
      </c>
      <c r="L193" s="4162"/>
      <c r="Q193" s="4170"/>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7" t="s">
        <v>6198</v>
      </c>
      <c r="D194" s="4168"/>
      <c r="E194" s="4168"/>
      <c r="F194" s="4168"/>
      <c r="G194" s="4168"/>
      <c r="H194" s="4168"/>
      <c r="I194" s="4168"/>
      <c r="J194" s="4168"/>
      <c r="K194" s="4168"/>
      <c r="L194" s="4168"/>
      <c r="M194" s="4168"/>
      <c r="N194" s="4168"/>
      <c r="O194" s="4169"/>
      <c r="Q194" s="4171"/>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3789</v>
      </c>
      <c r="D195" s="148"/>
      <c r="E195" s="878"/>
      <c r="F195" s="878"/>
      <c r="G195" s="878"/>
      <c r="H195" s="878"/>
      <c r="I195" s="94"/>
      <c r="J195" s="478" t="s">
        <v>1394</v>
      </c>
      <c r="K195" s="4155" t="s">
        <v>6939</v>
      </c>
      <c r="L195" s="4156"/>
      <c r="M195" s="4156"/>
      <c r="N195" s="4157"/>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4032</v>
      </c>
      <c r="D196" s="52"/>
      <c r="E196" s="52"/>
      <c r="F196" s="52"/>
      <c r="G196" s="52"/>
      <c r="H196" s="52"/>
      <c r="I196" s="52"/>
      <c r="J196" s="52"/>
      <c r="K196" s="42"/>
      <c r="L196" s="42"/>
      <c r="M196" s="42"/>
      <c r="N196" s="42"/>
      <c r="O196" s="478" t="s">
        <v>1844</v>
      </c>
      <c r="P196" s="96" t="s">
        <v>6933</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3856</v>
      </c>
      <c r="D197" s="52"/>
      <c r="E197" s="52"/>
      <c r="F197" s="52"/>
      <c r="G197" s="52"/>
      <c r="H197" s="52"/>
      <c r="I197" s="52"/>
      <c r="J197" s="52"/>
      <c r="K197" s="42"/>
      <c r="L197" s="42"/>
      <c r="M197" s="42"/>
      <c r="N197" s="478" t="s">
        <v>3154</v>
      </c>
      <c r="O197" s="1560">
        <f>'Part V-Revenues &amp; Expenses'!$P$67</f>
        <v>46</v>
      </c>
      <c r="P197" s="4139" t="s">
        <v>3858</v>
      </c>
      <c r="Q197" s="414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3859</v>
      </c>
      <c r="D198" s="52"/>
      <c r="E198" s="52"/>
      <c r="F198" s="52"/>
      <c r="H198" s="478" t="s">
        <v>3860</v>
      </c>
      <c r="I198" s="52" t="s">
        <v>3869</v>
      </c>
      <c r="M198" s="42"/>
      <c r="N198" s="42"/>
      <c r="O198" s="314"/>
      <c r="P198" s="1544" t="s">
        <v>721</v>
      </c>
      <c r="Q198" s="1545" t="s">
        <v>3857</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1" t="s">
        <v>3903</v>
      </c>
      <c r="D199" s="4142"/>
      <c r="E199" s="4142"/>
      <c r="F199" s="4142"/>
      <c r="G199" s="4143"/>
      <c r="H199" s="478" t="s">
        <v>1964</v>
      </c>
      <c r="I199" s="4144" t="s">
        <v>3402</v>
      </c>
      <c r="J199" s="4145"/>
      <c r="K199" s="4145"/>
      <c r="L199" s="4145"/>
      <c r="M199" s="4145"/>
      <c r="N199" s="4145"/>
      <c r="O199" s="4146"/>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8" t="s">
        <v>3854</v>
      </c>
      <c r="D200" s="4159"/>
      <c r="E200" s="4159"/>
      <c r="F200" s="4159"/>
      <c r="G200" s="4160"/>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8" t="s">
        <v>951</v>
      </c>
      <c r="D201" s="4159"/>
      <c r="E201" s="4159"/>
      <c r="F201" s="4159"/>
      <c r="G201" s="4160"/>
      <c r="H201" s="478" t="s">
        <v>1612</v>
      </c>
      <c r="I201" s="3438" t="s">
        <v>3402</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3868</v>
      </c>
      <c r="C202" s="4092" t="s">
        <v>951</v>
      </c>
      <c r="D202" s="4093"/>
      <c r="E202" s="4093"/>
      <c r="F202" s="4093"/>
      <c r="G202" s="4094"/>
      <c r="H202" s="478" t="s">
        <v>3868</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6933</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6116</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6749</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6100</v>
      </c>
      <c r="C210" s="52"/>
      <c r="E210" s="52"/>
      <c r="F210" s="52"/>
      <c r="G210" s="52"/>
      <c r="H210" s="52"/>
      <c r="I210" s="52"/>
      <c r="J210" s="52"/>
      <c r="K210" s="42"/>
      <c r="N210" s="2659" t="str">
        <f>'Part VII-Threshold Criteria'!J35</f>
        <v>HFOP</v>
      </c>
      <c r="O210" s="478" t="s">
        <v>1963</v>
      </c>
      <c r="P210" s="230" t="s">
        <v>6933</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2651</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3803</v>
      </c>
      <c r="E212" s="42"/>
      <c r="F212" s="42"/>
      <c r="G212" s="878"/>
      <c r="H212" s="878"/>
      <c r="I212" s="42"/>
      <c r="J212" s="878"/>
      <c r="K212" s="42"/>
      <c r="L212" s="878"/>
      <c r="M212" s="878"/>
      <c r="O212" s="65" t="s">
        <v>1616</v>
      </c>
      <c r="P212" s="231" t="s">
        <v>2651</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24" customHeight="1">
      <c r="A214" s="4013" t="s">
        <v>6995</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6117</v>
      </c>
      <c r="C217" s="40"/>
      <c r="D217" s="1932"/>
      <c r="E217" s="1932"/>
      <c r="F217" s="1932"/>
      <c r="G217" s="1932"/>
      <c r="H217" s="1932"/>
      <c r="I217" s="1932"/>
      <c r="J217" s="1932"/>
      <c r="K217" s="2659" t="s">
        <v>6744</v>
      </c>
      <c r="L217" s="1690" t="str">
        <f>'Part I-Project Identification'!$P$29</f>
        <v>Yes</v>
      </c>
      <c r="M217" s="1932"/>
      <c r="O217" s="132" t="s">
        <v>1731</v>
      </c>
      <c r="P217" s="4005"/>
      <c r="Q217" s="4006"/>
    </row>
    <row r="218" spans="1:44" ht="11.25" customHeight="1">
      <c r="A218" s="142" t="s">
        <v>1842</v>
      </c>
      <c r="B218" s="140" t="s">
        <v>6120</v>
      </c>
    </row>
    <row r="219" spans="1:44" ht="10.5" customHeight="1">
      <c r="A219" s="142"/>
      <c r="B219" s="52" t="s">
        <v>6122</v>
      </c>
      <c r="C219" s="42"/>
      <c r="D219" s="42"/>
      <c r="E219" s="42"/>
      <c r="F219" s="42"/>
      <c r="G219" s="42"/>
      <c r="H219" s="42"/>
      <c r="I219" s="42"/>
      <c r="J219" s="1930" t="s">
        <v>6121</v>
      </c>
      <c r="K219" s="52" t="s">
        <v>6122</v>
      </c>
      <c r="L219" s="42"/>
      <c r="M219" s="42"/>
      <c r="N219" s="42"/>
      <c r="O219" s="42"/>
      <c r="P219" s="42"/>
      <c r="Q219" s="1930" t="s">
        <v>6121</v>
      </c>
    </row>
    <row r="220" spans="1:44" s="133" customFormat="1" ht="11.25" customHeight="1">
      <c r="B220" s="4144"/>
      <c r="C220" s="4145"/>
      <c r="D220" s="4145"/>
      <c r="E220" s="4145"/>
      <c r="F220" s="4145"/>
      <c r="G220" s="4145"/>
      <c r="H220" s="4145"/>
      <c r="I220" s="4145"/>
      <c r="J220" s="2667"/>
      <c r="K220" s="4144"/>
      <c r="L220" s="4145"/>
      <c r="M220" s="4145"/>
      <c r="N220" s="4145"/>
      <c r="O220" s="4145"/>
      <c r="P220" s="4145"/>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6123</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6119</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6118</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6948</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3954</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6199</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2" t="s">
        <v>1647</v>
      </c>
      <c r="L238" s="4023"/>
      <c r="M238" s="4023"/>
      <c r="N238" s="4023"/>
      <c r="O238" s="4101"/>
      <c r="P238" s="4131" t="s">
        <v>1647</v>
      </c>
      <c r="Q238" s="4132"/>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6200</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6201</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6211</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6212</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3246</v>
      </c>
      <c r="C246" s="4029"/>
      <c r="D246" s="4029"/>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6506</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6949</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3371</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4033</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4059</v>
      </c>
      <c r="D260" s="4003"/>
      <c r="E260" s="4003"/>
      <c r="F260" s="4003"/>
      <c r="G260" s="4003"/>
      <c r="H260" s="4003"/>
      <c r="I260" s="4003"/>
      <c r="J260" s="4003"/>
      <c r="K260" s="4003"/>
      <c r="L260" s="4003"/>
      <c r="M260" s="4003"/>
      <c r="N260" s="4003"/>
      <c r="O260" s="1778" t="s">
        <v>4060</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6124</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13" t="s">
        <v>6996</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3372</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6199</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6203</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3850</v>
      </c>
      <c r="D271" s="4003"/>
      <c r="E271" s="4003"/>
      <c r="F271" s="4003"/>
      <c r="G271" s="4003"/>
      <c r="H271" s="4003"/>
      <c r="I271" s="4003"/>
      <c r="J271" s="4003"/>
      <c r="K271" s="4003"/>
      <c r="L271" s="4003"/>
      <c r="M271" s="4003"/>
      <c r="N271" s="4003"/>
      <c r="O271" s="1778" t="s">
        <v>1615</v>
      </c>
      <c r="P271" s="1158" t="s">
        <v>6933</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6933</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3255</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6202</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6204</v>
      </c>
      <c r="C275" s="160"/>
      <c r="D275" s="586"/>
      <c r="E275" s="586"/>
      <c r="F275" s="160"/>
      <c r="H275" s="160"/>
      <c r="I275" s="160"/>
      <c r="N275" s="2377" t="s">
        <v>6205</v>
      </c>
      <c r="O275" s="478" t="s">
        <v>698</v>
      </c>
      <c r="P275" s="1160" t="s">
        <v>6933</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33.75" customHeight="1">
      <c r="A277" s="4013" t="s">
        <v>6997</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3370</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6199</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6663</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6664</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6206</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6209</v>
      </c>
      <c r="E288" s="4003"/>
      <c r="F288" s="4003"/>
      <c r="G288" s="4003"/>
      <c r="H288" s="4003"/>
      <c r="I288" s="140"/>
      <c r="J288" s="4007" t="s">
        <v>3267</v>
      </c>
      <c r="K288" s="4033"/>
      <c r="L288" s="4033"/>
      <c r="M288" s="4138" t="s">
        <v>3248</v>
      </c>
      <c r="N288" s="413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3388</v>
      </c>
      <c r="K290" s="2066">
        <v>3</v>
      </c>
      <c r="L290" s="1001" t="str">
        <f>IF(K290&lt;M290,"Check!!!","")</f>
        <v/>
      </c>
      <c r="M290" s="2068">
        <f>ROUNDUP('Part V-Revenues &amp; Expenses'!$P$67*'Part VII-Threshold Criteria'!N290,0)</f>
        <v>3</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6210</v>
      </c>
      <c r="E291" s="4003"/>
      <c r="F291" s="4003"/>
      <c r="G291" s="4003"/>
      <c r="H291" s="4003"/>
      <c r="I291" s="869" t="s">
        <v>3389</v>
      </c>
      <c r="J291" s="315"/>
      <c r="K291" s="2067">
        <v>3</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6745</v>
      </c>
      <c r="D293" s="4003"/>
      <c r="E293" s="4003"/>
      <c r="F293" s="4003"/>
      <c r="G293" s="4003"/>
      <c r="H293" s="4003"/>
      <c r="I293" s="52" t="s">
        <v>3390</v>
      </c>
      <c r="J293" s="315"/>
      <c r="K293" s="999">
        <v>1</v>
      </c>
      <c r="L293" s="1001" t="str">
        <f>IF(K293&lt;M293,"Check!!!","")</f>
        <v/>
      </c>
      <c r="M293" s="1002">
        <f>ROUNDUP('Part V-Revenues &amp; Expenses'!$P$67*'Part VII-Threshold Criteria'!N293,0)</f>
        <v>1</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6723</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1" t="s">
        <v>6950</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6665</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3836</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3" t="s">
        <v>6998</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3373</v>
      </c>
      <c r="B307" s="10" t="s">
        <v>2435</v>
      </c>
      <c r="C307" s="10"/>
      <c r="D307" s="10"/>
      <c r="E307" s="10"/>
      <c r="F307" s="10"/>
      <c r="G307" s="10"/>
      <c r="H307" s="1133"/>
      <c r="I307" s="1133"/>
      <c r="J307" s="1133"/>
      <c r="K307" s="1133"/>
      <c r="L307" s="1133"/>
      <c r="M307" s="1133"/>
      <c r="O307" s="132" t="s">
        <v>1731</v>
      </c>
      <c r="P307" s="4133"/>
      <c r="Q307" s="4134"/>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3790</v>
      </c>
      <c r="E310" s="2059"/>
      <c r="F310" s="2059"/>
      <c r="G310" s="2059"/>
      <c r="H310" s="2059"/>
      <c r="I310" s="2060"/>
      <c r="J310" s="2056"/>
      <c r="K310" s="4022" t="s">
        <v>6951</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6675</v>
      </c>
      <c r="C312" s="4003"/>
      <c r="D312" s="4003"/>
      <c r="E312" s="4003"/>
      <c r="F312" s="4003"/>
      <c r="G312" s="4003"/>
      <c r="H312" s="4003"/>
      <c r="I312" s="4003"/>
      <c r="J312" s="4003"/>
      <c r="K312" s="4003"/>
      <c r="L312" s="4003"/>
      <c r="M312" s="4003"/>
      <c r="N312" s="4003"/>
      <c r="O312" s="163" t="s">
        <v>1842</v>
      </c>
      <c r="P312" s="162" t="s">
        <v>6933</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6310</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3250</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6125</v>
      </c>
      <c r="D317" s="1963"/>
      <c r="E317" s="1963"/>
      <c r="F317" s="1963"/>
      <c r="G317" s="4025" t="s">
        <v>6126</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c r="D318" s="4079"/>
      <c r="E318" s="4079"/>
      <c r="F318" s="4079"/>
      <c r="G318" s="4079"/>
      <c r="H318" s="4079"/>
      <c r="I318" s="4079"/>
      <c r="J318" s="4079"/>
      <c r="K318" s="4079"/>
      <c r="L318" s="4079"/>
      <c r="M318" s="4079"/>
      <c r="N318" s="4080"/>
      <c r="O318" s="229" t="s">
        <v>6306</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c r="D319" s="4093"/>
      <c r="E319" s="4093"/>
      <c r="F319" s="4093"/>
      <c r="G319" s="4093"/>
      <c r="H319" s="4093"/>
      <c r="I319" s="4093"/>
      <c r="J319" s="4093"/>
      <c r="K319" s="4093"/>
      <c r="L319" s="4093"/>
      <c r="M319" s="4093"/>
      <c r="N319" s="4094"/>
      <c r="O319" s="229" t="s">
        <v>6307</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6127</v>
      </c>
      <c r="C320" s="3998"/>
      <c r="D320" s="3998"/>
      <c r="E320" s="3998"/>
      <c r="F320" s="3998"/>
      <c r="G320" s="3998"/>
      <c r="H320" s="3998"/>
      <c r="I320" s="3998"/>
      <c r="J320" s="3998"/>
      <c r="K320" s="3998"/>
      <c r="L320" s="3998"/>
      <c r="M320" s="3998"/>
      <c r="N320" s="3998"/>
      <c r="O320" s="163" t="s">
        <v>1963</v>
      </c>
      <c r="P320" s="1937" t="s">
        <v>6933</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4.75" customHeight="1">
      <c r="A323" s="4013" t="s">
        <v>6999</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3374</v>
      </c>
      <c r="B326" s="192" t="s">
        <v>6540</v>
      </c>
      <c r="C326" s="1138"/>
      <c r="D326" s="1133"/>
      <c r="E326" s="1133"/>
      <c r="F326" s="1133"/>
      <c r="G326" s="1133"/>
      <c r="H326" s="1133"/>
      <c r="N326" s="1091" t="s">
        <v>6539</v>
      </c>
      <c r="O326" s="132" t="s">
        <v>1731</v>
      </c>
      <c r="P326" s="4005"/>
      <c r="Q326" s="4006"/>
      <c r="R326" s="1147" t="s">
        <v>6526</v>
      </c>
    </row>
    <row r="327" spans="1:256" ht="11.45" customHeight="1">
      <c r="A327" s="47" t="s">
        <v>1842</v>
      </c>
      <c r="B327" s="55" t="s">
        <v>6535</v>
      </c>
      <c r="O327" s="163" t="s">
        <v>1842</v>
      </c>
      <c r="P327" s="230" t="s">
        <v>2651</v>
      </c>
      <c r="Q327" s="549"/>
    </row>
    <row r="328" spans="1:256" ht="11.45" customHeight="1">
      <c r="A328" s="142" t="s">
        <v>1844</v>
      </c>
      <c r="B328" s="55" t="s">
        <v>6542</v>
      </c>
      <c r="O328" s="163" t="s">
        <v>1844</v>
      </c>
      <c r="P328" s="2315" t="s">
        <v>2651</v>
      </c>
      <c r="Q328" s="880"/>
    </row>
    <row r="329" spans="1:256" ht="11.45" customHeight="1">
      <c r="A329" s="142" t="s">
        <v>698</v>
      </c>
      <c r="B329" s="55" t="s">
        <v>6543</v>
      </c>
      <c r="K329" s="2311"/>
      <c r="M329" s="163" t="s">
        <v>698</v>
      </c>
      <c r="N329" s="4074" t="s">
        <v>2654</v>
      </c>
      <c r="O329" s="4075"/>
      <c r="P329" s="4076" t="s">
        <v>1647</v>
      </c>
      <c r="Q329" s="4077"/>
    </row>
    <row r="330" spans="1:256" ht="11.45" customHeight="1">
      <c r="A330" s="47" t="s">
        <v>1963</v>
      </c>
      <c r="B330" s="55" t="s">
        <v>6544</v>
      </c>
      <c r="O330" s="478" t="s">
        <v>1963</v>
      </c>
      <c r="P330" s="2049" t="s">
        <v>2654</v>
      </c>
      <c r="Q330" s="2107"/>
    </row>
    <row r="331" spans="1:256" ht="11.45" customHeight="1">
      <c r="A331" s="142" t="s">
        <v>1613</v>
      </c>
      <c r="B331" s="55" t="s">
        <v>6545</v>
      </c>
      <c r="N331" s="163" t="s">
        <v>1613</v>
      </c>
      <c r="O331" s="4068" t="s">
        <v>4051</v>
      </c>
      <c r="P331" s="4069"/>
      <c r="Q331" s="4070"/>
    </row>
    <row r="332" spans="1:256" ht="11.45" customHeight="1">
      <c r="A332" s="142" t="s">
        <v>1614</v>
      </c>
      <c r="B332" s="434" t="s">
        <v>2171</v>
      </c>
      <c r="N332" s="163" t="s">
        <v>1614</v>
      </c>
      <c r="O332" s="4135" t="s">
        <v>2561</v>
      </c>
      <c r="P332" s="4136"/>
      <c r="Q332" s="4137"/>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13.35" customHeight="1">
      <c r="A334" s="4013" t="s">
        <v>7000</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3377</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6548</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6693</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6128</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46</v>
      </c>
      <c r="F343" s="52" t="s">
        <v>3897</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6694</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46</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6695</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6549</v>
      </c>
      <c r="D347" s="31"/>
      <c r="E347" s="31"/>
      <c r="F347" s="31"/>
      <c r="G347" s="31"/>
      <c r="H347" s="2392"/>
      <c r="I347" s="2392"/>
      <c r="J347" s="2392"/>
      <c r="K347" s="2392"/>
      <c r="L347" s="2392"/>
      <c r="M347" s="2392"/>
      <c r="N347" s="2393"/>
      <c r="O347" s="478" t="s">
        <v>4060</v>
      </c>
      <c r="P347" s="2399"/>
      <c r="Q347" s="2400"/>
      <c r="AE347" s="2394"/>
      <c r="AF347" s="2394"/>
    </row>
    <row r="348" spans="1:44" s="148" customFormat="1">
      <c r="A348" s="142"/>
      <c r="B348" s="1546"/>
      <c r="C348" s="52" t="s">
        <v>1668</v>
      </c>
      <c r="D348" s="52"/>
      <c r="E348" s="1966">
        <f>'Part V-Revenues &amp; Expenses'!$P$67</f>
        <v>46</v>
      </c>
      <c r="F348" s="52" t="s">
        <v>3897</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3" t="s">
        <v>6952</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applied for Nonprofit Setaside.</v>
      </c>
      <c r="O354" s="132" t="s">
        <v>1731</v>
      </c>
      <c r="P354" s="4177"/>
      <c r="Q354" s="4006"/>
    </row>
    <row r="355" spans="1:32" ht="10.5" customHeight="1">
      <c r="A355" s="47" t="s">
        <v>1842</v>
      </c>
      <c r="B355" s="135" t="s">
        <v>3360</v>
      </c>
      <c r="D355" s="151"/>
      <c r="E355" s="151"/>
      <c r="F355" s="151"/>
      <c r="G355" s="151"/>
      <c r="H355" s="478" t="s">
        <v>1842</v>
      </c>
      <c r="I355" s="4178" t="s">
        <v>6953</v>
      </c>
      <c r="J355" s="4179"/>
      <c r="K355" s="4179"/>
      <c r="L355" s="4179"/>
      <c r="M355" s="4179"/>
      <c r="N355" s="4179"/>
      <c r="O355" s="4179"/>
      <c r="P355" s="4180"/>
      <c r="Q355" s="549"/>
    </row>
    <row r="356" spans="1:32" ht="10.5" customHeight="1">
      <c r="A356" s="142" t="s">
        <v>1844</v>
      </c>
      <c r="B356" s="135" t="s">
        <v>3361</v>
      </c>
      <c r="D356" s="151"/>
      <c r="E356" s="151"/>
      <c r="F356" s="151"/>
      <c r="G356" s="151"/>
      <c r="H356" s="163" t="s">
        <v>1844</v>
      </c>
      <c r="I356" s="4053" t="s">
        <v>6954</v>
      </c>
      <c r="J356" s="4054"/>
      <c r="K356" s="4054"/>
      <c r="L356" s="4054"/>
      <c r="M356" s="4054"/>
      <c r="N356" s="4054"/>
      <c r="O356" s="4054"/>
      <c r="P356" s="4055"/>
      <c r="Q356" s="551"/>
    </row>
    <row r="357" spans="1:32" ht="21.75" customHeight="1">
      <c r="A357" s="142" t="s">
        <v>698</v>
      </c>
      <c r="B357" s="4021" t="s">
        <v>3352</v>
      </c>
      <c r="C357" s="4021"/>
      <c r="D357" s="4021"/>
      <c r="E357" s="4021"/>
      <c r="F357" s="4021"/>
      <c r="G357" s="4021"/>
      <c r="H357" s="4021"/>
      <c r="I357" s="4021"/>
      <c r="J357" s="4021"/>
      <c r="K357" s="4021"/>
      <c r="L357" s="4021"/>
      <c r="M357" s="4021"/>
      <c r="N357" s="4021"/>
      <c r="O357" s="163" t="s">
        <v>698</v>
      </c>
      <c r="P357" s="1063" t="s">
        <v>2651</v>
      </c>
      <c r="Q357" s="1157"/>
    </row>
    <row r="358" spans="1:32" ht="21.75" customHeight="1">
      <c r="A358" s="142" t="s">
        <v>1963</v>
      </c>
      <c r="B358" s="4003" t="s">
        <v>3353</v>
      </c>
      <c r="C358" s="4003"/>
      <c r="D358" s="4003"/>
      <c r="E358" s="4003"/>
      <c r="F358" s="4003"/>
      <c r="G358" s="4003"/>
      <c r="H358" s="4003"/>
      <c r="I358" s="4003"/>
      <c r="J358" s="4003"/>
      <c r="K358" s="4003"/>
      <c r="L358" s="4003"/>
      <c r="M358" s="4003"/>
      <c r="N358" s="4003"/>
      <c r="O358" s="163" t="s">
        <v>1963</v>
      </c>
      <c r="P358" s="561" t="s">
        <v>2651</v>
      </c>
      <c r="Q358" s="552"/>
    </row>
    <row r="359" spans="1:32" ht="10.5" customHeight="1">
      <c r="A359" s="142" t="s">
        <v>1613</v>
      </c>
      <c r="B359" s="52" t="s">
        <v>3354</v>
      </c>
      <c r="D359" s="52"/>
      <c r="E359" s="52"/>
      <c r="F359" s="52"/>
      <c r="G359" s="52"/>
      <c r="H359" s="52"/>
      <c r="I359" s="52"/>
      <c r="J359" s="52"/>
      <c r="K359" s="52"/>
      <c r="L359" s="52"/>
      <c r="M359" s="52"/>
      <c r="O359" s="163" t="s">
        <v>1613</v>
      </c>
      <c r="P359" s="389" t="s">
        <v>2651</v>
      </c>
      <c r="Q359" s="550"/>
    </row>
    <row r="360" spans="1:32" s="133" customFormat="1" ht="21.75" customHeight="1">
      <c r="A360" s="142" t="s">
        <v>1614</v>
      </c>
      <c r="B360" s="4003" t="s">
        <v>3355</v>
      </c>
      <c r="C360" s="4003"/>
      <c r="D360" s="4003"/>
      <c r="E360" s="4003"/>
      <c r="F360" s="4003"/>
      <c r="G360" s="4003"/>
      <c r="H360" s="4003"/>
      <c r="I360" s="4003"/>
      <c r="J360" s="4003"/>
      <c r="K360" s="4003"/>
      <c r="L360" s="4003"/>
      <c r="M360" s="4003"/>
      <c r="N360" s="4003"/>
      <c r="O360" s="163" t="s">
        <v>1614</v>
      </c>
      <c r="P360" s="864" t="s">
        <v>2651</v>
      </c>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t="s">
        <v>2651</v>
      </c>
      <c r="Q361" s="1142"/>
      <c r="AE361" s="481"/>
      <c r="AF361" s="481"/>
    </row>
    <row r="362" spans="1:32" s="133" customFormat="1" ht="10.5" customHeight="1">
      <c r="C362" s="863" t="s">
        <v>3874</v>
      </c>
      <c r="E362" s="1133"/>
      <c r="F362" s="1133"/>
      <c r="G362" s="1133"/>
      <c r="H362" s="1133"/>
      <c r="I362" s="1133"/>
      <c r="J362" s="1133"/>
      <c r="K362" s="1133"/>
      <c r="L362" s="1133"/>
      <c r="M362" s="1133"/>
      <c r="N362" s="1133"/>
      <c r="P362" s="1174" t="s">
        <v>2654</v>
      </c>
      <c r="Q362" s="1144"/>
      <c r="AE362" s="481"/>
      <c r="AF362" s="481"/>
    </row>
    <row r="363" spans="1:32" ht="21.75" customHeight="1">
      <c r="A363" s="142" t="s">
        <v>3006</v>
      </c>
      <c r="B363" s="4003" t="s">
        <v>3357</v>
      </c>
      <c r="C363" s="4003"/>
      <c r="D363" s="4003"/>
      <c r="E363" s="4003"/>
      <c r="F363" s="4003"/>
      <c r="G363" s="4003"/>
      <c r="H363" s="4003"/>
      <c r="I363" s="4003"/>
      <c r="J363" s="4003"/>
      <c r="K363" s="4003"/>
      <c r="L363" s="4003"/>
      <c r="M363" s="4003"/>
      <c r="N363" s="4003"/>
      <c r="O363" s="163" t="s">
        <v>3006</v>
      </c>
      <c r="P363" s="1158" t="s">
        <v>2654</v>
      </c>
      <c r="Q363" s="1142"/>
    </row>
    <row r="364" spans="1:32" ht="33" customHeight="1">
      <c r="A364" s="142" t="s">
        <v>573</v>
      </c>
      <c r="B364" s="4003" t="s">
        <v>3358</v>
      </c>
      <c r="C364" s="4003"/>
      <c r="D364" s="4003"/>
      <c r="E364" s="4003"/>
      <c r="F364" s="4003"/>
      <c r="G364" s="4003"/>
      <c r="H364" s="4003"/>
      <c r="I364" s="4003"/>
      <c r="J364" s="4003"/>
      <c r="K364" s="4003"/>
      <c r="L364" s="4003"/>
      <c r="M364" s="4003"/>
      <c r="N364" s="4003"/>
      <c r="O364" s="163" t="s">
        <v>573</v>
      </c>
      <c r="P364" s="1174" t="s">
        <v>2651</v>
      </c>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3" t="s">
        <v>7001</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5"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066">
        <f>'Part II-Sources of Funds'!I6</f>
        <v>0</v>
      </c>
      <c r="N374" s="4067"/>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3" t="s">
        <v>6952</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3380</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4034</v>
      </c>
      <c r="D383" s="879"/>
      <c r="E383" s="879"/>
      <c r="O383" s="478" t="s">
        <v>698</v>
      </c>
      <c r="P383" s="389" t="s">
        <v>2651</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016"/>
      <c r="I385" s="4017"/>
      <c r="J385" s="4017"/>
      <c r="K385" s="4017"/>
      <c r="L385" s="4017"/>
      <c r="M385" s="4017"/>
      <c r="N385" s="4017"/>
      <c r="O385" s="4018"/>
      <c r="P385" s="231" t="s">
        <v>2654</v>
      </c>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3" t="s">
        <v>7002</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3381</v>
      </c>
      <c r="B391" s="4" t="s">
        <v>3942</v>
      </c>
      <c r="C391" s="4"/>
      <c r="D391" s="4"/>
      <c r="E391" s="4"/>
      <c r="F391" s="4"/>
      <c r="G391" s="4"/>
      <c r="H391" s="1133"/>
      <c r="I391" s="1133"/>
      <c r="J391" s="1133"/>
      <c r="K391" s="1133"/>
      <c r="L391" s="1133"/>
      <c r="M391" s="1133"/>
      <c r="O391" s="132" t="s">
        <v>1731</v>
      </c>
      <c r="P391" s="4019"/>
      <c r="Q391" s="4020"/>
      <c r="AF391" s="35"/>
    </row>
    <row r="392" spans="1:32" ht="12" customHeight="1">
      <c r="B392" s="55" t="s">
        <v>6256</v>
      </c>
      <c r="O392" s="65"/>
      <c r="P392" s="492"/>
      <c r="Q392" s="548"/>
    </row>
    <row r="393" spans="1:32" ht="12" customHeight="1">
      <c r="A393" s="47" t="s">
        <v>1842</v>
      </c>
      <c r="B393" s="87" t="s">
        <v>3941</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4035</v>
      </c>
      <c r="D395" s="55" t="s">
        <v>4036</v>
      </c>
      <c r="E395" s="42"/>
      <c r="F395" s="42"/>
      <c r="G395" s="42"/>
      <c r="H395" s="42"/>
      <c r="I395" s="42"/>
      <c r="J395" s="42"/>
      <c r="K395" s="42"/>
      <c r="L395" s="42"/>
      <c r="M395" s="42"/>
      <c r="N395" s="42"/>
      <c r="O395" s="478" t="s">
        <v>4035</v>
      </c>
      <c r="P395" s="4099"/>
      <c r="Q395" s="4097"/>
      <c r="AF395" s="35"/>
    </row>
    <row r="396" spans="1:32" ht="12" customHeight="1">
      <c r="A396" s="47"/>
      <c r="D396" s="52" t="s">
        <v>6505</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3945</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6156</v>
      </c>
      <c r="D400" s="4003"/>
      <c r="E400" s="4003"/>
      <c r="F400" s="4003"/>
      <c r="G400" s="135" t="s">
        <v>3946</v>
      </c>
      <c r="J400" s="919"/>
      <c r="K400" s="556"/>
      <c r="M400" s="135" t="s">
        <v>6230</v>
      </c>
      <c r="P400" s="2316"/>
      <c r="Q400" s="2317"/>
    </row>
    <row r="401" spans="1:44" ht="12" customHeight="1">
      <c r="A401" s="47"/>
      <c r="C401" s="4003"/>
      <c r="D401" s="4003"/>
      <c r="E401" s="4003"/>
      <c r="F401" s="4003"/>
      <c r="G401" s="135" t="s">
        <v>6229</v>
      </c>
      <c r="J401" s="920"/>
      <c r="K401" s="557"/>
      <c r="M401" s="135" t="s">
        <v>6231</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6186</v>
      </c>
      <c r="J403" s="4007" t="s">
        <v>6187</v>
      </c>
      <c r="K403" s="4007" t="s">
        <v>6189</v>
      </c>
      <c r="L403" s="4007"/>
      <c r="M403" s="4007"/>
      <c r="N403" s="4046" t="s">
        <v>6188</v>
      </c>
      <c r="O403" s="478"/>
      <c r="P403" s="4172" t="s">
        <v>6704</v>
      </c>
      <c r="Q403" s="4172"/>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0"/>
      <c r="J404" s="4007"/>
      <c r="K404" s="4007"/>
      <c r="L404" s="4007"/>
      <c r="M404" s="4007"/>
      <c r="N404" s="4047"/>
      <c r="O404" s="478"/>
      <c r="P404" s="4173"/>
      <c r="Q404" s="4173"/>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6300</v>
      </c>
      <c r="D405" s="4003"/>
      <c r="E405" s="4003"/>
      <c r="F405" s="4003"/>
      <c r="G405" s="4003"/>
      <c r="H405" s="4003"/>
      <c r="I405" s="1918">
        <f>K290</f>
        <v>3</v>
      </c>
      <c r="J405" s="2318"/>
      <c r="K405" s="4008"/>
      <c r="L405" s="4008"/>
      <c r="M405" s="4009"/>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 t="shared" ref="Z407:AG407" si="3">IF(AA407="","",IF(AA407&lt;AC407,"Check!!!",""))</f>
        <v/>
      </c>
      <c r="AA407" s="1811" t="str">
        <f t="shared" si="3"/>
        <v/>
      </c>
      <c r="AB407" s="1811" t="str">
        <f t="shared" si="3"/>
        <v/>
      </c>
      <c r="AC407" s="1811" t="str">
        <f t="shared" si="3"/>
        <v/>
      </c>
      <c r="AD407" s="1811" t="str">
        <f t="shared" si="3"/>
        <v/>
      </c>
      <c r="AE407" s="1811" t="str">
        <f t="shared" si="3"/>
        <v/>
      </c>
      <c r="AF407" s="1811" t="str">
        <f t="shared" si="3"/>
        <v/>
      </c>
      <c r="AG407" s="1811" t="str">
        <f t="shared" si="3"/>
        <v/>
      </c>
      <c r="AH407" s="345"/>
      <c r="AI407" s="345"/>
      <c r="AJ407" s="345"/>
      <c r="AK407" s="345"/>
      <c r="AL407" s="345"/>
      <c r="AM407" s="345"/>
      <c r="AN407" s="345"/>
      <c r="AO407" s="345"/>
      <c r="AP407" s="345"/>
      <c r="AQ407" s="345"/>
      <c r="AR407" s="345"/>
    </row>
    <row r="408" spans="1:44" s="94" customFormat="1" ht="12.75" customHeight="1">
      <c r="A408" s="142"/>
      <c r="B408" s="1546"/>
      <c r="D408" s="140" t="s">
        <v>6190</v>
      </c>
      <c r="E408" s="140"/>
      <c r="F408" s="140"/>
      <c r="G408" s="140"/>
      <c r="H408" s="140"/>
      <c r="I408" s="1918">
        <f>K291</f>
        <v>3</v>
      </c>
      <c r="J408" s="2318"/>
      <c r="K408" s="4008"/>
      <c r="L408" s="4008"/>
      <c r="M408" s="400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 t="shared" ref="Z409:AG409" si="4">IF(AA409="","",IF(AA409&lt;AC409,"Check!!!",""))</f>
        <v/>
      </c>
      <c r="AA409" s="1811" t="str">
        <f t="shared" si="4"/>
        <v/>
      </c>
      <c r="AB409" s="1811" t="str">
        <f t="shared" si="4"/>
        <v/>
      </c>
      <c r="AC409" s="1811" t="str">
        <f t="shared" si="4"/>
        <v/>
      </c>
      <c r="AD409" s="1811" t="str">
        <f t="shared" si="4"/>
        <v/>
      </c>
      <c r="AE409" s="1811" t="str">
        <f t="shared" si="4"/>
        <v/>
      </c>
      <c r="AF409" s="1811" t="str">
        <f t="shared" si="4"/>
        <v/>
      </c>
      <c r="AG409" s="1811" t="str">
        <f t="shared" si="4"/>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6301</v>
      </c>
      <c r="D411" s="4003"/>
      <c r="E411" s="4003"/>
      <c r="F411" s="4003"/>
      <c r="G411" s="4003"/>
      <c r="H411" s="4003"/>
      <c r="I411" s="1918">
        <f>K293</f>
        <v>1</v>
      </c>
      <c r="J411" s="2318"/>
      <c r="K411" s="4008"/>
      <c r="L411" s="4008"/>
      <c r="M411" s="4009"/>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3838</v>
      </c>
      <c r="E414" s="878"/>
      <c r="F414" s="878"/>
      <c r="G414" s="878"/>
      <c r="J414" s="42"/>
      <c r="K414" s="878"/>
      <c r="L414" s="878"/>
      <c r="M414" s="42"/>
      <c r="N414" s="478"/>
      <c r="P414" s="478"/>
      <c r="Q414" s="478"/>
    </row>
    <row r="415" spans="1:44" ht="12" customHeight="1">
      <c r="A415" s="47"/>
      <c r="B415" s="457"/>
      <c r="C415" s="878" t="s">
        <v>6233</v>
      </c>
      <c r="D415" s="148"/>
      <c r="E415" s="878"/>
      <c r="F415" s="878"/>
      <c r="L415" s="878"/>
      <c r="M415" s="878"/>
      <c r="O415" s="478" t="s">
        <v>2241</v>
      </c>
      <c r="P415" s="492" t="s">
        <v>1647</v>
      </c>
      <c r="Q415" s="548" t="s">
        <v>1647</v>
      </c>
    </row>
    <row r="416" spans="1:44" ht="12" customHeight="1">
      <c r="A416" s="42"/>
      <c r="B416" s="148"/>
      <c r="D416" s="4004" t="s">
        <v>6234</v>
      </c>
      <c r="E416" s="1506" t="s">
        <v>2264</v>
      </c>
      <c r="F416" s="457" t="s">
        <v>3288</v>
      </c>
      <c r="G416" s="3999"/>
      <c r="H416" s="4000"/>
      <c r="I416" s="4000"/>
      <c r="J416" s="4000"/>
      <c r="K416" s="4001"/>
      <c r="L416" s="1506"/>
    </row>
    <row r="417" spans="1:32" ht="12" customHeight="1">
      <c r="B417" s="148"/>
      <c r="D417" s="4004"/>
      <c r="E417" s="1506" t="s">
        <v>3943</v>
      </c>
      <c r="F417" s="457" t="s">
        <v>3944</v>
      </c>
      <c r="G417" s="4057" t="s">
        <v>3207</v>
      </c>
      <c r="H417" s="4058"/>
      <c r="I417" s="4059"/>
      <c r="J417" s="457" t="s">
        <v>3805</v>
      </c>
      <c r="K417" s="148"/>
      <c r="M417" s="3999"/>
      <c r="N417" s="4000"/>
      <c r="O417" s="4000"/>
      <c r="P417" s="4000"/>
      <c r="Q417" s="4001"/>
    </row>
    <row r="418" spans="1:32" ht="12" customHeight="1">
      <c r="A418" s="42"/>
      <c r="B418" s="148"/>
      <c r="C418" s="457" t="s">
        <v>6232</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3804</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4037</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6550</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13" t="s">
        <v>6955</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3382</v>
      </c>
      <c r="B428" s="4" t="s">
        <v>2510</v>
      </c>
      <c r="C428" s="4"/>
      <c r="D428" s="87"/>
      <c r="E428" s="1133"/>
      <c r="F428" s="1133"/>
      <c r="G428" s="1133"/>
      <c r="H428" s="1133"/>
      <c r="O428" s="132" t="s">
        <v>1731</v>
      </c>
      <c r="P428" s="4005"/>
      <c r="Q428" s="4006"/>
    </row>
    <row r="429" spans="1:32" ht="14.1" customHeight="1">
      <c r="B429" s="87" t="s">
        <v>3900</v>
      </c>
      <c r="C429" s="4"/>
      <c r="D429" s="87"/>
      <c r="E429" s="1133"/>
      <c r="F429" s="1133"/>
      <c r="G429" s="1133"/>
      <c r="H429" s="1133"/>
    </row>
    <row r="430" spans="1:32" s="133" customFormat="1" ht="21.75" customHeight="1">
      <c r="A430" s="142" t="s">
        <v>1842</v>
      </c>
      <c r="B430" s="3998" t="s">
        <v>3313</v>
      </c>
      <c r="C430" s="3998"/>
      <c r="D430" s="3998"/>
      <c r="E430" s="3998"/>
      <c r="F430" s="3998"/>
      <c r="G430" s="3998"/>
      <c r="H430" s="3998"/>
      <c r="I430" s="3998"/>
      <c r="J430" s="3998"/>
      <c r="K430" s="3998"/>
      <c r="L430" s="3998"/>
      <c r="M430" s="3998"/>
      <c r="N430" s="3998"/>
      <c r="O430" s="163" t="s">
        <v>1842</v>
      </c>
      <c r="P430" s="1143" t="s">
        <v>6933</v>
      </c>
      <c r="Q430" s="1142"/>
      <c r="AE430" s="481"/>
      <c r="AF430" s="481"/>
    </row>
    <row r="431" spans="1:32" s="133" customFormat="1" ht="22.5" customHeight="1">
      <c r="A431" s="142" t="s">
        <v>1844</v>
      </c>
      <c r="B431" s="3998" t="s">
        <v>3312</v>
      </c>
      <c r="C431" s="3998"/>
      <c r="D431" s="3998"/>
      <c r="E431" s="3998"/>
      <c r="F431" s="3998"/>
      <c r="G431" s="3998"/>
      <c r="H431" s="3998"/>
      <c r="I431" s="3998"/>
      <c r="J431" s="3998"/>
      <c r="K431" s="3998"/>
      <c r="L431" s="3998"/>
      <c r="M431" s="3998"/>
      <c r="N431" s="3998"/>
      <c r="O431" s="163" t="s">
        <v>1844</v>
      </c>
      <c r="P431" s="561" t="s">
        <v>6933</v>
      </c>
      <c r="Q431" s="552"/>
      <c r="AE431" s="481"/>
      <c r="AF431" s="481"/>
    </row>
    <row r="432" spans="1:32" s="133" customFormat="1" ht="22.5" customHeight="1">
      <c r="B432" s="1546" t="s">
        <v>1615</v>
      </c>
      <c r="C432" s="3998" t="s">
        <v>3870</v>
      </c>
      <c r="D432" s="3998"/>
      <c r="E432" s="3998"/>
      <c r="F432" s="3998"/>
      <c r="G432" s="3998"/>
      <c r="H432" s="3998"/>
      <c r="I432" s="3998"/>
      <c r="J432" s="3998"/>
      <c r="K432" s="3998"/>
      <c r="L432" s="3998"/>
      <c r="M432" s="3998"/>
      <c r="N432" s="3998"/>
      <c r="O432" s="163" t="s">
        <v>1615</v>
      </c>
      <c r="P432" s="561" t="s">
        <v>6933</v>
      </c>
      <c r="Q432" s="552"/>
      <c r="AE432" s="481"/>
      <c r="AF432" s="481"/>
    </row>
    <row r="433" spans="1:32" s="42" customFormat="1" ht="12" customHeight="1">
      <c r="B433" s="1546" t="s">
        <v>1616</v>
      </c>
      <c r="C433" s="36" t="s">
        <v>3871</v>
      </c>
      <c r="D433" s="1122"/>
      <c r="E433" s="1122"/>
      <c r="F433" s="1122"/>
      <c r="G433" s="1122"/>
      <c r="H433" s="1122"/>
      <c r="I433" s="1122"/>
      <c r="J433" s="1122"/>
      <c r="K433" s="1122"/>
      <c r="L433" s="1122"/>
      <c r="M433" s="1122"/>
      <c r="N433" s="1122"/>
      <c r="O433" s="478" t="s">
        <v>1616</v>
      </c>
      <c r="P433" s="389" t="s">
        <v>6933</v>
      </c>
      <c r="Q433" s="550"/>
      <c r="AE433" s="50"/>
      <c r="AF433" s="50"/>
    </row>
    <row r="434" spans="1:32" s="133" customFormat="1" ht="33" customHeight="1">
      <c r="B434" s="491" t="s">
        <v>1617</v>
      </c>
      <c r="C434" s="3998" t="s">
        <v>3872</v>
      </c>
      <c r="D434" s="3998"/>
      <c r="E434" s="3998"/>
      <c r="F434" s="3998"/>
      <c r="G434" s="3998"/>
      <c r="H434" s="3998"/>
      <c r="I434" s="3998"/>
      <c r="J434" s="3998"/>
      <c r="K434" s="3998"/>
      <c r="L434" s="3998"/>
      <c r="M434" s="3998"/>
      <c r="N434" s="3998"/>
      <c r="O434" s="163" t="s">
        <v>1617</v>
      </c>
      <c r="P434" s="561" t="s">
        <v>6933</v>
      </c>
      <c r="Q434" s="552"/>
      <c r="AE434" s="481"/>
      <c r="AF434" s="481"/>
    </row>
    <row r="435" spans="1:32" s="133" customFormat="1" ht="22.5" customHeight="1">
      <c r="B435" s="491" t="s">
        <v>2183</v>
      </c>
      <c r="C435" s="3998" t="s">
        <v>3873</v>
      </c>
      <c r="D435" s="3998"/>
      <c r="E435" s="3998"/>
      <c r="F435" s="3998"/>
      <c r="G435" s="3998"/>
      <c r="H435" s="3998"/>
      <c r="I435" s="3998"/>
      <c r="J435" s="3998"/>
      <c r="K435" s="3998"/>
      <c r="L435" s="3998"/>
      <c r="M435" s="3998"/>
      <c r="N435" s="3998"/>
      <c r="O435" s="163" t="s">
        <v>2183</v>
      </c>
      <c r="P435" s="561" t="s">
        <v>6933</v>
      </c>
      <c r="Q435" s="552"/>
      <c r="AE435" s="481"/>
      <c r="AF435" s="481"/>
    </row>
    <row r="436" spans="1:32" s="133" customFormat="1" ht="22.5" customHeight="1">
      <c r="A436" s="142" t="s">
        <v>698</v>
      </c>
      <c r="B436" s="3998" t="s">
        <v>3314</v>
      </c>
      <c r="C436" s="3998"/>
      <c r="D436" s="3998"/>
      <c r="E436" s="3998"/>
      <c r="F436" s="3998"/>
      <c r="G436" s="3998"/>
      <c r="H436" s="3998"/>
      <c r="I436" s="3998"/>
      <c r="J436" s="3998"/>
      <c r="K436" s="3998"/>
      <c r="L436" s="3998"/>
      <c r="M436" s="3998"/>
      <c r="N436" s="3998"/>
      <c r="O436" s="163" t="s">
        <v>698</v>
      </c>
      <c r="P436" s="561" t="s">
        <v>6933</v>
      </c>
      <c r="Q436" s="552"/>
      <c r="AE436" s="481"/>
      <c r="AF436" s="481"/>
    </row>
    <row r="437" spans="1:32" s="133" customFormat="1" ht="22.5" customHeight="1">
      <c r="A437" s="142" t="s">
        <v>1963</v>
      </c>
      <c r="B437" s="3998" t="s">
        <v>3921</v>
      </c>
      <c r="C437" s="3998"/>
      <c r="D437" s="3998"/>
      <c r="E437" s="3998"/>
      <c r="F437" s="3998"/>
      <c r="G437" s="3998"/>
      <c r="H437" s="3998"/>
      <c r="I437" s="3998"/>
      <c r="J437" s="3998"/>
      <c r="K437" s="3998"/>
      <c r="L437" s="3998"/>
      <c r="M437" s="3998"/>
      <c r="N437" s="3998"/>
      <c r="O437" s="163" t="s">
        <v>1963</v>
      </c>
      <c r="P437" s="561" t="s">
        <v>6933</v>
      </c>
      <c r="Q437" s="552"/>
      <c r="AE437" s="481"/>
      <c r="AF437" s="481"/>
    </row>
    <row r="438" spans="1:32" s="133" customFormat="1" ht="21.75" customHeight="1">
      <c r="A438" s="142" t="s">
        <v>1613</v>
      </c>
      <c r="B438" s="3998" t="s">
        <v>3922</v>
      </c>
      <c r="C438" s="3998"/>
      <c r="D438" s="3998"/>
      <c r="E438" s="3998"/>
      <c r="F438" s="3998"/>
      <c r="G438" s="3998"/>
      <c r="H438" s="3998"/>
      <c r="I438" s="3998"/>
      <c r="J438" s="3998"/>
      <c r="K438" s="3998"/>
      <c r="L438" s="3998"/>
      <c r="M438" s="3998"/>
      <c r="N438" s="3998"/>
      <c r="O438" s="163" t="s">
        <v>1613</v>
      </c>
      <c r="P438" s="561" t="s">
        <v>6933</v>
      </c>
      <c r="Q438" s="552"/>
      <c r="AE438" s="481"/>
      <c r="AF438" s="481"/>
    </row>
    <row r="439" spans="1:32" s="438" customFormat="1" ht="21.75" customHeight="1">
      <c r="A439" s="142" t="s">
        <v>1614</v>
      </c>
      <c r="B439" s="3998" t="s">
        <v>3955</v>
      </c>
      <c r="C439" s="3998"/>
      <c r="D439" s="3998"/>
      <c r="E439" s="3998"/>
      <c r="F439" s="3998"/>
      <c r="G439" s="3998"/>
      <c r="H439" s="3998"/>
      <c r="I439" s="3998"/>
      <c r="J439" s="3998"/>
      <c r="K439" s="3998"/>
      <c r="L439" s="3998"/>
      <c r="M439" s="3998"/>
      <c r="N439" s="3998"/>
      <c r="O439" s="163" t="s">
        <v>1614</v>
      </c>
      <c r="P439" s="1174" t="s">
        <v>6933</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3" t="s">
        <v>7003</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3806</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12" customHeight="1">
      <c r="A447" s="4013" t="s">
        <v>7017</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4049</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4050</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4051</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4055</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4052</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4053</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4054</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1978</v>
      </c>
      <c r="J464" s="2502" t="s">
        <v>1604</v>
      </c>
      <c r="N464" s="1023"/>
      <c r="O464" s="1022" t="s">
        <v>3280</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4" t="s">
        <v>1131</v>
      </c>
      <c r="K491" s="1021" t="s">
        <v>6207</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6310</v>
      </c>
      <c r="R495" s="55"/>
      <c r="AE495" s="1024"/>
      <c r="AF495" s="1024"/>
    </row>
    <row r="496" spans="1:32" s="1021" customFormat="1" ht="11.25">
      <c r="A496" s="55"/>
      <c r="B496" s="55"/>
      <c r="C496" s="1021" t="s">
        <v>1430</v>
      </c>
      <c r="K496" s="1021" t="s">
        <v>6309</v>
      </c>
      <c r="R496" s="55"/>
      <c r="AE496" s="1024"/>
      <c r="AF496" s="1024"/>
    </row>
    <row r="497" spans="1:32" s="1021" customFormat="1" ht="11.25">
      <c r="A497" s="55"/>
      <c r="B497" s="55"/>
      <c r="C497" s="1021" t="s">
        <v>1966</v>
      </c>
      <c r="K497" s="1021" t="s">
        <v>6208</v>
      </c>
      <c r="R497" s="55"/>
      <c r="AE497" s="1024"/>
      <c r="AF497" s="1024"/>
    </row>
    <row r="498" spans="1:32" s="1021" customFormat="1" ht="11.25">
      <c r="A498" s="55"/>
      <c r="B498" s="55"/>
      <c r="C498" s="1021" t="s">
        <v>162</v>
      </c>
      <c r="K498" s="1021" t="s">
        <v>6311</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3855</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3852</v>
      </c>
      <c r="R508" s="55"/>
      <c r="AE508" s="1024"/>
      <c r="AF508" s="1024"/>
    </row>
    <row r="509" spans="1:32" s="1021" customFormat="1" ht="11.25">
      <c r="A509" s="55"/>
      <c r="B509" s="55"/>
      <c r="C509" s="1021" t="s">
        <v>2342</v>
      </c>
      <c r="M509" s="1021" t="s">
        <v>3883</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3853</v>
      </c>
      <c r="R511" s="55"/>
      <c r="AE511" s="1024"/>
      <c r="AF511" s="1024"/>
    </row>
    <row r="512" spans="1:32" s="1021" customFormat="1" ht="11.25">
      <c r="A512" s="55"/>
      <c r="B512" s="55"/>
      <c r="C512" s="1021" t="s">
        <v>548</v>
      </c>
      <c r="M512" s="2508" t="s">
        <v>3902</v>
      </c>
      <c r="R512" s="55"/>
      <c r="AE512" s="1024"/>
      <c r="AF512" s="1024"/>
    </row>
    <row r="513" spans="1:32" s="1021" customFormat="1" ht="11.25">
      <c r="A513" s="55"/>
      <c r="B513" s="55"/>
      <c r="C513" s="1021" t="s">
        <v>2036</v>
      </c>
      <c r="M513" s="2508" t="s">
        <v>3903</v>
      </c>
      <c r="R513" s="55"/>
      <c r="AE513" s="1024"/>
      <c r="AF513" s="1024"/>
    </row>
    <row r="514" spans="1:32" s="1021" customFormat="1" ht="11.25">
      <c r="A514" s="55"/>
      <c r="B514" s="55"/>
      <c r="C514" s="2509" t="s">
        <v>30</v>
      </c>
      <c r="M514" s="1021" t="s">
        <v>3854</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3338</v>
      </c>
      <c r="R519" s="55"/>
      <c r="AE519" s="1024"/>
      <c r="AF519" s="1024"/>
    </row>
    <row r="520" spans="1:32" s="1021" customFormat="1" ht="11.25">
      <c r="A520" s="55"/>
      <c r="B520" s="55"/>
      <c r="M520" s="1021" t="s">
        <v>3333</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3329</v>
      </c>
      <c r="R522" s="55"/>
      <c r="AE522" s="1024"/>
      <c r="AF522" s="1024"/>
    </row>
    <row r="523" spans="1:32" s="1021" customFormat="1" ht="11.25">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formula1>"&lt;&lt;Select&gt;&gt;, Substantial Gut Rehab, Historic Preservation, Pre-Application Waiver"</formula1>
    </dataValidation>
    <dataValidation type="list" allowBlank="1" showInputMessage="1" showErrorMessage="1" sqref="P210">
      <formula1>"Agree, Disagree, N/A"</formula1>
    </dataValidation>
    <dataValidation type="list" allowBlank="1" showInputMessage="1" showErrorMessage="1" sqref="P160:P161 Q49 Q46 P101:Q101">
      <formula1>"Yes, No, N/Ap"</formula1>
    </dataValidation>
    <dataValidation type="list" allowBlank="1" showInputMessage="1" showErrorMessage="1" sqref="P6:Q6">
      <formula1>"PASS, FAIL, W/DRWN"</formula1>
    </dataValidation>
    <dataValidation type="list" allowBlank="1" showInputMessage="1" showErrorMessage="1" sqref="M133:N133">
      <formula1>"&lt;&lt;Select&gt;&gt;, Warranty Deed, Purchase Contract, Ground lease/Option, RFP Selection, Other (see comments)"</formula1>
    </dataValidation>
    <dataValidation type="list" allowBlank="1" showInputMessage="1" showErrorMessage="1" sqref="P133:Q133">
      <formula1>"&lt;&lt;Select&gt;&gt;, Warranty Deed, Contract/Option, Ground lease, No site control, Other (see comments)"</formula1>
    </dataValidation>
    <dataValidation type="list" allowBlank="1" showInputMessage="1" showErrorMessage="1" sqref="Q199:Q202 P84:Q84 P131:Q132 Q143:Q145 P183:Q183 P286:Q286 P362:Q362 P397:Q397">
      <formula1>"Yes, No, N/A"</formula1>
    </dataValidation>
    <dataValidation type="list" allowBlank="1" showInputMessage="1" showErrorMessage="1" sqref="K192">
      <formula1>"&lt;&lt;Select&gt;&gt;, Room, Building"</formula1>
    </dataValidation>
    <dataValidation type="list" allowBlank="1" showInputMessage="1" showErrorMessage="1" sqref="G314:N314">
      <formula1>$K$494:$K$498</formula1>
    </dataValidation>
    <dataValidation type="list" allowBlank="1" showInputMessage="1" showErrorMessage="1" sqref="G315:N315">
      <formula1>$K$489:$K$491</formula1>
    </dataValidation>
    <dataValidation type="list" allowBlank="1" showInputMessage="1" showErrorMessage="1" sqref="N123:Q123">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formula1>"Agree, Disagree"</formula1>
    </dataValidation>
    <dataValidation type="list" allowBlank="1" showInputMessage="1" showErrorMessage="1" sqref="P445 P371 P380 P151 P307 P236 P268 P177 P189 P169 P40 P56 P74 P92 P130 P141 P34 P27 P428 P326 P354 P256 P281 P217 P391 P33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formula1>"Yes, No"</formula1>
    </dataValidation>
    <dataValidation type="list" allowBlank="1" showInputMessage="1" showErrorMessage="1" sqref="P143:P145">
      <formula1>"Yes, No,N/A"</formula1>
    </dataValidation>
    <dataValidation type="list" allowBlank="1" showInputMessage="1" showErrorMessage="1" sqref="P135:Q135 P86:Q87">
      <formula1>"Yes, No, N/a"</formula1>
    </dataValidation>
    <dataValidation type="list" allowBlank="1" showInputMessage="1" showErrorMessage="1" sqref="G417">
      <formula1>"&lt;&lt; Select &gt;&gt;, Non-profit, Advocacy group, Non-profit advocacy group, Relocation specialist, Local Government, Other (explain in box at right--&gt;)"</formula1>
    </dataValidation>
    <dataValidation type="list" allowBlank="1" showInputMessage="1" showErrorMessage="1" sqref="P415:Q415">
      <formula1>"&lt;&lt;Select&gt;&gt;, Applicant, Third-party"</formula1>
    </dataValidation>
    <dataValidation type="list" allowBlank="1" showInputMessage="1" showErrorMessage="1" sqref="K195:N195">
      <formula1>"&lt;&lt;Select&gt;&gt;, On-site laundry, W&amp;D installed in each unit, Both options"</formula1>
    </dataValidation>
    <dataValidation type="list" allowBlank="1" showInputMessage="1" showErrorMessage="1" sqref="C199:G202">
      <formula1>$M$507:$M$515</formula1>
    </dataValidation>
    <dataValidation type="list" allowBlank="1" showInputMessage="1" showErrorMessage="1" sqref="O331:Q332">
      <formula1>$O$456:$O$464</formula1>
    </dataValidation>
    <dataValidation type="list" allowBlank="1" showInputMessage="1" showErrorMessage="1" sqref="P46">
      <formula1>"Agree, Disagree, N/ap"</formula1>
    </dataValidation>
    <dataValidation type="list" allowBlank="1" showInputMessage="1" showErrorMessage="1" sqref="P49">
      <formula1>"Agree, Disagree, N/Ap"</formula1>
    </dataValidation>
    <dataValidation type="list" allowBlank="1" showInputMessage="1" showErrorMessage="1" sqref="K193:L193">
      <formula1>"&lt;&lt;Select&gt;&gt;, Gazebo, Covered Porch, Other Pre-Approved"</formula1>
    </dataValidation>
    <dataValidation type="list" allowBlank="1" showInputMessage="1" showErrorMessage="1" sqref="K238:O238">
      <formula1>"&lt;&lt;Select&gt;&gt;, Substantial Rehab Gutted, Substantial Rehab Non-Gutted,Historic Preservation"</formula1>
    </dataValidation>
    <dataValidation type="list" allowBlank="1" showInputMessage="1" showErrorMessage="1" sqref="K310">
      <formula1>"&lt;&lt;Select&gt;&gt;, N/A - no NC involved, Yes - W&amp;D hookups installed in each unit"</formula1>
    </dataValidation>
    <dataValidation type="list" allowBlank="1" showInputMessage="1" showErrorMessage="1" sqref="L273:P273">
      <formula1>$M$519:$M$533</formula1>
    </dataValidation>
    <dataValidation type="list" allowBlank="1" showInputMessage="1" showErrorMessage="1" sqref="N329:Q329">
      <formula1>"&lt;&lt;Select&gt;&gt;,Yes - see Comment, No, N/A - no pre-app"</formula1>
    </dataValidation>
    <dataValidation type="list" allowBlank="1" showInputMessage="1" showErrorMessage="1" sqref="J35">
      <formula1>"&lt;&lt; Select PROPOSED Tenancy &gt;&gt;,Family,Elderly,HFOP,Other Senior/Elderly, Other Non-Senior"</formula1>
    </dataValidation>
    <dataValidation type="list" allowBlank="1" showInputMessage="1" showErrorMessage="1" sqref="J36:L36">
      <formula1>"&lt;&lt; Select CURRENT Tenancy &gt;&gt;,Family,Elderly,HFOP,Other Senior/Elderly, Other Non-Senior, N/A"</formula1>
    </dataValidation>
  </dataValidations>
  <hyperlinks>
    <hyperlink ref="N275" r:id="rId1"/>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5" t="s">
        <v>6531</v>
      </c>
      <c r="B2" s="4205"/>
      <c r="C2" s="183"/>
      <c r="D2" s="1474">
        <v>2021</v>
      </c>
      <c r="E2" s="180"/>
      <c r="F2" s="4199" t="s">
        <v>3001</v>
      </c>
      <c r="G2" s="4200"/>
      <c r="H2" s="4200"/>
      <c r="I2" s="4200"/>
      <c r="J2" s="4201"/>
      <c r="K2" s="303"/>
      <c r="L2" s="580" t="s">
        <v>3144</v>
      </c>
      <c r="M2" s="303"/>
      <c r="N2" s="4199" t="s">
        <v>3001</v>
      </c>
      <c r="O2" s="4200"/>
      <c r="P2" s="4200"/>
      <c r="Q2" s="4200"/>
      <c r="R2" s="4201"/>
      <c r="S2" s="313"/>
      <c r="T2" s="180"/>
      <c r="U2" s="180"/>
      <c r="V2" s="970"/>
      <c r="W2" s="970"/>
      <c r="X2" s="970"/>
      <c r="AA2" s="523"/>
      <c r="AB2" s="523"/>
    </row>
    <row r="3" spans="1:28" s="293" customFormat="1" ht="11.45" customHeight="1">
      <c r="A3" s="4205"/>
      <c r="B3" s="420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5"/>
      <c r="B4" s="420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6532</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6"/>
      <c r="B45" s="4216"/>
      <c r="C45" s="4216"/>
      <c r="D45" s="4216"/>
      <c r="E45" s="4216"/>
      <c r="F45" s="1574"/>
      <c r="G45" s="4230" t="s">
        <v>2466</v>
      </c>
      <c r="H45" s="4231"/>
      <c r="I45" s="635"/>
      <c r="J45" s="42"/>
      <c r="K45" s="4232" t="s">
        <v>3167</v>
      </c>
      <c r="L45" s="4233"/>
      <c r="M45" s="4233"/>
      <c r="N45" s="4234"/>
      <c r="AE45" s="128"/>
      <c r="AF45" s="128"/>
    </row>
    <row r="46" spans="1:295" s="35" customFormat="1" ht="11.25" customHeight="1">
      <c r="A46" s="4216"/>
      <c r="B46" s="4216"/>
      <c r="C46" s="4216"/>
      <c r="D46" s="4216"/>
      <c r="E46" s="4216"/>
      <c r="F46" s="1574"/>
      <c r="G46" s="4235" t="s">
        <v>333</v>
      </c>
      <c r="H46" s="4236"/>
      <c r="I46" s="635"/>
      <c r="J46" s="42"/>
      <c r="K46" s="4208" t="s">
        <v>3168</v>
      </c>
      <c r="L46" s="4209"/>
      <c r="M46" s="4209"/>
      <c r="N46" s="4210"/>
      <c r="P46" s="533" t="s">
        <v>2475</v>
      </c>
      <c r="Q46" s="96"/>
      <c r="AE46" s="128"/>
      <c r="AF46" s="128"/>
    </row>
    <row r="47" spans="1:295" s="35" customFormat="1" ht="4.5" customHeight="1">
      <c r="A47" s="1574"/>
      <c r="B47" s="1574"/>
      <c r="C47" s="1574"/>
      <c r="D47" s="1574"/>
      <c r="E47" s="1574"/>
      <c r="F47" s="1574"/>
      <c r="G47" s="227"/>
      <c r="H47" s="227"/>
      <c r="I47" s="227"/>
      <c r="J47" s="42"/>
      <c r="K47" s="4211"/>
      <c r="L47" s="4211"/>
      <c r="M47" s="4211"/>
      <c r="N47" s="4211"/>
      <c r="P47" s="4214" t="s">
        <v>3939</v>
      </c>
      <c r="Q47" s="4214"/>
      <c r="AE47" s="128"/>
      <c r="AF47" s="128"/>
    </row>
    <row r="48" spans="1:295" s="83" customFormat="1" ht="10.5" customHeight="1">
      <c r="D48" s="636" t="s">
        <v>2465</v>
      </c>
      <c r="E48" s="35"/>
      <c r="F48" s="637" t="s">
        <v>3070</v>
      </c>
      <c r="G48" s="4203" t="s">
        <v>3896</v>
      </c>
      <c r="H48" s="4203"/>
      <c r="I48" s="4203"/>
      <c r="J48" s="35"/>
      <c r="K48" s="637" t="s">
        <v>3070</v>
      </c>
      <c r="L48" s="4203" t="s">
        <v>3895</v>
      </c>
      <c r="M48" s="4203"/>
      <c r="N48" s="4203"/>
      <c r="O48" s="35"/>
      <c r="P48" s="4214"/>
      <c r="Q48" s="4214"/>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7" t="s">
        <v>3000</v>
      </c>
      <c r="B49" s="4207"/>
      <c r="C49" s="4207"/>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188517.12</v>
      </c>
      <c r="M49" s="40" t="str">
        <f>CONCATENATE("x ", K49," units = ")</f>
        <v xml:space="preserve">x  units = </v>
      </c>
      <c r="N49" s="1573" t="str">
        <f>IF(K49="","",K49*L49)</f>
        <v/>
      </c>
      <c r="O49" s="1133"/>
      <c r="P49" s="4215"/>
      <c r="Q49" s="4215"/>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7"/>
      <c r="B50" s="4207"/>
      <c r="C50" s="4207"/>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3" t="str">
        <f>IF(F50="","",F50*G50)</f>
        <v/>
      </c>
      <c r="J50" s="42"/>
      <c r="K50" s="1572" t="str">
        <f>IF('Part V-Revenues &amp; Expenses'!$L$148 =0,"",'Part V-Revenues &amp; Expenses'!$L$148)</f>
        <v/>
      </c>
      <c r="L50" s="843">
        <f>G50*(1+'DCA Underwriting Assumptions'!$Q$12)</f>
        <v>233597.43</v>
      </c>
      <c r="M50" s="40" t="str">
        <f>CONCATENATE("x ", K50," units = ")</f>
        <v xml:space="preserve">x  units = </v>
      </c>
      <c r="N50" s="1573" t="str">
        <f>IF(K50="","",K50*L50)</f>
        <v/>
      </c>
      <c r="O50" s="1133"/>
      <c r="P50" s="4221" t="str">
        <f>IF('Part I-Project Identification'!$F$30="","",VLOOKUP('Part I-Project Identification'!$J$30,'DCA Underwriting Assumptions'!$G$136:$N$295,8,FALSE))</f>
        <v>Albany</v>
      </c>
      <c r="Q50" s="4222"/>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7"/>
      <c r="B51" s="4207"/>
      <c r="C51" s="4207"/>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279394.22499999998</v>
      </c>
      <c r="M51" s="40" t="str">
        <f>CONCATENATE("x ", K51," units = ")</f>
        <v xml:space="preserve">x  units = </v>
      </c>
      <c r="N51" s="1573" t="str">
        <f>IF(K51="","",K51*L51)</f>
        <v/>
      </c>
      <c r="O51" s="1133"/>
      <c r="P51" s="4223"/>
      <c r="Q51" s="4224"/>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7"/>
      <c r="B52" s="4207"/>
      <c r="C52" s="4207"/>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3" t="str">
        <f>IF(F52="","",F52*G52)</f>
        <v/>
      </c>
      <c r="J52" s="42"/>
      <c r="K52" s="1572" t="str">
        <f>IF('Part V-Revenues &amp; Expenses'!$N$148 =0,"",'Part V-Revenues &amp; Expenses'!$N$148)</f>
        <v/>
      </c>
      <c r="L52" s="843">
        <f>G52*(1+'DCA Underwriting Assumptions'!$Q$12)</f>
        <v>318490.15000000002</v>
      </c>
      <c r="M52" s="40" t="str">
        <f>CONCATENATE("x ", K52," units = ")</f>
        <v xml:space="preserve">x  units = </v>
      </c>
      <c r="N52" s="1573" t="str">
        <f>IF(K52="","",K52*L52)</f>
        <v/>
      </c>
      <c r="O52" s="1133"/>
      <c r="P52" s="4172" t="s">
        <v>3940</v>
      </c>
      <c r="Q52" s="4172"/>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3" t="str">
        <f>IF(F53="","",F53*G53)</f>
        <v/>
      </c>
      <c r="J53" s="42"/>
      <c r="K53" s="1572" t="str">
        <f>IF('Part V-Revenues &amp; Expenses'!$O$148 =0,"",'Part V-Revenues &amp; Expenses'!$O$148)</f>
        <v/>
      </c>
      <c r="L53" s="843">
        <f>G53*(1+'DCA Underwriting Assumptions'!$Q$12)</f>
        <v>375145.9800000001</v>
      </c>
      <c r="M53" s="40" t="str">
        <f>CONCATENATE("x ", K53," units = ")</f>
        <v xml:space="preserve">x  units = </v>
      </c>
      <c r="N53" s="1573" t="str">
        <f>IF(K53="","",K53*L53)</f>
        <v/>
      </c>
      <c r="O53" s="1133"/>
      <c r="P53" s="4212">
        <f>'Part III-A-Uses of Funds'!$G$146</f>
        <v>13171427</v>
      </c>
      <c r="Q53" s="4213"/>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2" t="s">
        <v>3931</v>
      </c>
      <c r="Q54" s="4172"/>
      <c r="R54" s="4202" t="s">
        <v>6305</v>
      </c>
      <c r="S54" s="4202"/>
      <c r="T54" s="4202"/>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7" t="s">
        <v>2995</v>
      </c>
      <c r="B56" s="4207"/>
      <c r="C56" s="4207"/>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3" t="str">
        <f>IF(F56="","",F56*G56)</f>
        <v/>
      </c>
      <c r="J56" s="42"/>
      <c r="K56" s="1572" t="str">
        <f>IF('Part V-Revenues &amp; Expenses'!$K$150 =0,"",'Part V-Revenues &amp; Expenses'!$K$150)</f>
        <v/>
      </c>
      <c r="L56" s="843">
        <f>G56*(1+'DCA Underwriting Assumptions'!$Q$12)</f>
        <v>162815.40000000002</v>
      </c>
      <c r="M56" s="40" t="str">
        <f>CONCATENATE("x ", K56," units = ")</f>
        <v xml:space="preserve">x  units = </v>
      </c>
      <c r="N56" s="1573" t="str">
        <f>IF(K56="","",K56*L56)</f>
        <v/>
      </c>
      <c r="P56" s="4212">
        <f>'Part III-A-Uses of Funds'!$G$146-'Part III-A-Uses of Funds'!$G$92-'Part III-A-Uses of Funds'!$G$114-'Part III-A-Uses of Funds'!$G$130-'Part III-A-Uses of Funds'!$G$131-'Part III-A-Uses of Funds'!$G$132</f>
        <v>12721582</v>
      </c>
      <c r="Q56" s="4213"/>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7"/>
      <c r="B57" s="4207"/>
      <c r="C57" s="4207"/>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3" t="str">
        <f>IF(F57="","",F57*G57)</f>
        <v/>
      </c>
      <c r="J57" s="42"/>
      <c r="K57" s="1572" t="str">
        <f>IF('Part V-Revenues &amp; Expenses'!$L$150 =0,"",'Part V-Revenues &amp; Expenses'!$L$150)</f>
        <v/>
      </c>
      <c r="L57" s="843">
        <f>G57*(1+'DCA Underwriting Assumptions'!$Q$12)</f>
        <v>203567.595</v>
      </c>
      <c r="M57" s="40" t="str">
        <f>CONCATENATE("x ", K57," units = ")</f>
        <v xml:space="preserve">x  units = </v>
      </c>
      <c r="N57" s="1573" t="str">
        <f>IF(K57="","",K57*L57)</f>
        <v/>
      </c>
      <c r="P57" s="4225" t="s">
        <v>3366</v>
      </c>
      <c r="Q57" s="4225"/>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7"/>
      <c r="B58" s="4207"/>
      <c r="C58" s="4207"/>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3" t="str">
        <f>IF(F58="","",F58*G58)</f>
        <v/>
      </c>
      <c r="J58" s="42"/>
      <c r="K58" s="1572" t="str">
        <f>IF('Part V-Revenues &amp; Expenses'!$M$150 =0,"",'Part V-Revenues &amp; Expenses'!$M$150)</f>
        <v/>
      </c>
      <c r="L58" s="843">
        <f>G58*(1+'DCA Underwriting Assumptions'!$Q$12)</f>
        <v>246509.285</v>
      </c>
      <c r="M58" s="40" t="str">
        <f>CONCATENATE("x ", K58," units = ")</f>
        <v xml:space="preserve">x  units = </v>
      </c>
      <c r="N58" s="1573" t="str">
        <f>IF(K58="","",K58*L58)</f>
        <v/>
      </c>
      <c r="O58" s="578"/>
      <c r="P58" s="4226"/>
      <c r="Q58" s="4227"/>
      <c r="R58" s="430"/>
      <c r="S58" s="4185" t="s">
        <v>3934</v>
      </c>
      <c r="T58" s="4186"/>
      <c r="U58" s="4186"/>
      <c r="V58" s="4187"/>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287503.26000000007</v>
      </c>
      <c r="M59" s="40" t="str">
        <f>CONCATENATE("x ", K59," units = ")</f>
        <v xml:space="preserve">x  units = </v>
      </c>
      <c r="N59" s="1573" t="str">
        <f>IF(K59="","",K59*L59)</f>
        <v/>
      </c>
      <c r="O59" s="578"/>
      <c r="P59" s="4228"/>
      <c r="Q59" s="4229"/>
      <c r="S59" s="4188"/>
      <c r="T59" s="4189"/>
      <c r="U59" s="4189"/>
      <c r="V59" s="4190"/>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340529.09</v>
      </c>
      <c r="M60" s="40" t="str">
        <f>CONCATENATE("x ", K60," units = ")</f>
        <v xml:space="preserve">x  units = </v>
      </c>
      <c r="N60" s="1573" t="str">
        <f>IF(K60="","",K60*L60)</f>
        <v/>
      </c>
      <c r="O60" s="578"/>
      <c r="P60" s="4206" t="s">
        <v>3163</v>
      </c>
      <c r="Q60" s="4206"/>
      <c r="S60" s="4188"/>
      <c r="T60" s="4189"/>
      <c r="U60" s="4189"/>
      <c r="V60" s="4190"/>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8"/>
      <c r="T61" s="4189"/>
      <c r="U61" s="4189"/>
      <c r="V61" s="4190"/>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8"/>
      <c r="T62" s="4189"/>
      <c r="U62" s="4189"/>
      <c r="V62" s="4190"/>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3" t="str">
        <f>IF(F63="","",F63*G63)</f>
        <v/>
      </c>
      <c r="J63" s="42"/>
      <c r="K63" s="1572" t="str">
        <f>IF('Part V-Revenues &amp; Expenses'!$K$152 =0,"",'Part V-Revenues &amp; Expenses'!$K$152)</f>
        <v/>
      </c>
      <c r="L63" s="843">
        <f>G63*(1+'DCA Underwriting Assumptions'!$Q$12)</f>
        <v>146068.56000000003</v>
      </c>
      <c r="M63" s="40" t="str">
        <f>CONCATENATE("x ", K63," units = ")</f>
        <v xml:space="preserve">x  units = </v>
      </c>
      <c r="N63" s="1573" t="str">
        <f>IF(K63="","",K63*L63)</f>
        <v/>
      </c>
      <c r="O63" s="578"/>
      <c r="P63" s="1113">
        <f>'Part VIII Scoring Criteria'!O377</f>
        <v>0</v>
      </c>
      <c r="Q63" s="1113">
        <f>'Part VIII Scoring Criteria'!P377</f>
        <v>0</v>
      </c>
      <c r="R63" s="430"/>
      <c r="S63" s="4188"/>
      <c r="T63" s="4189"/>
      <c r="U63" s="4189"/>
      <c r="V63" s="4190"/>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units = </v>
      </c>
      <c r="I64" s="1573" t="str">
        <f>IF(F64="","",F64*G64)</f>
        <v/>
      </c>
      <c r="J64" s="42"/>
      <c r="K64" s="1572" t="str">
        <f>IF('Part V-Revenues &amp; Expenses'!$L$152 =0,"",'Part V-Revenues &amp; Expenses'!$L$152)</f>
        <v/>
      </c>
      <c r="L64" s="843">
        <f>G64*(1+'DCA Underwriting Assumptions'!$Q$12)</f>
        <v>190899.88499999998</v>
      </c>
      <c r="M64" s="40" t="str">
        <f>CONCATENATE("x ", K64," units = ")</f>
        <v xml:space="preserve">x  units = </v>
      </c>
      <c r="N64" s="1573" t="str">
        <f>IF(K64="","",K64*L64)</f>
        <v/>
      </c>
      <c r="P64" s="4206" t="s">
        <v>3164</v>
      </c>
      <c r="Q64" s="4206"/>
      <c r="S64" s="4188"/>
      <c r="T64" s="4189"/>
      <c r="U64" s="4189"/>
      <c r="V64" s="4190"/>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units = </v>
      </c>
      <c r="I65" s="1573" t="str">
        <f>IF(F65="","",F65*G65)</f>
        <v/>
      </c>
      <c r="J65" s="42"/>
      <c r="K65" s="1572" t="str">
        <f>IF('Part V-Revenues &amp; Expenses'!$M$152 =0,"",'Part V-Revenues &amp; Expenses'!$M$152)</f>
        <v/>
      </c>
      <c r="L65" s="843">
        <f>G65*(1+'DCA Underwriting Assumptions'!$Q$12)</f>
        <v>241647.89</v>
      </c>
      <c r="M65" s="40" t="str">
        <f>CONCATENATE("x ", K65," units = ")</f>
        <v xml:space="preserve">x  units = </v>
      </c>
      <c r="N65" s="1573" t="str">
        <f>IF(K65="","",K65*L65)</f>
        <v/>
      </c>
      <c r="P65" s="1114" t="s">
        <v>2891</v>
      </c>
      <c r="Q65" s="1114" t="s">
        <v>245</v>
      </c>
      <c r="S65" s="4188"/>
      <c r="T65" s="4189"/>
      <c r="U65" s="4189"/>
      <c r="V65" s="4190"/>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units = </v>
      </c>
      <c r="I66" s="1573" t="str">
        <f>IF(F66="","",F66*G66)</f>
        <v/>
      </c>
      <c r="J66" s="42"/>
      <c r="K66" s="1572" t="str">
        <f>IF('Part V-Revenues &amp; Expenses'!$N$152 =0,"",'Part V-Revenues &amp; Expenses'!$N$152)</f>
        <v/>
      </c>
      <c r="L66" s="843">
        <f>G66*(1+'DCA Underwriting Assumptions'!$Q$12)</f>
        <v>304513.44000000006</v>
      </c>
      <c r="M66" s="40" t="str">
        <f>CONCATENATE("x ", K66," units = ")</f>
        <v xml:space="preserve">x  units = </v>
      </c>
      <c r="N66" s="1573" t="str">
        <f>IF(K66="","",K66*L66)</f>
        <v/>
      </c>
      <c r="O66" s="578"/>
      <c r="P66" s="1113">
        <f>'Part VIII Scoring Criteria'!O112</f>
        <v>2</v>
      </c>
      <c r="Q66" s="1113">
        <f>'Part VIII Scoring Criteria'!P112</f>
        <v>3</v>
      </c>
      <c r="S66" s="4188"/>
      <c r="T66" s="4189"/>
      <c r="U66" s="4189"/>
      <c r="V66" s="4190"/>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3" t="str">
        <f>IF(F67="","",F67*G67)</f>
        <v/>
      </c>
      <c r="J67" s="42"/>
      <c r="K67" s="1572" t="str">
        <f>IF('Part V-Revenues &amp; Expenses'!$O$152 =0,"",'Part V-Revenues &amp; Expenses'!$O$152)</f>
        <v/>
      </c>
      <c r="L67" s="843">
        <f>G67*(1+'DCA Underwriting Assumptions'!$Q$12)</f>
        <v>377196.93000000011</v>
      </c>
      <c r="M67" s="40" t="str">
        <f>CONCATENATE("x ", K67," units = ")</f>
        <v xml:space="preserve">x  units = </v>
      </c>
      <c r="N67" s="1573" t="str">
        <f>IF(K67="","",K67*L67)</f>
        <v/>
      </c>
      <c r="O67" s="578"/>
      <c r="P67" s="4197" t="s">
        <v>2493</v>
      </c>
      <c r="Q67" s="4197"/>
      <c r="S67" s="4188"/>
      <c r="T67" s="4189"/>
      <c r="U67" s="4189"/>
      <c r="V67" s="4190"/>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197"/>
      <c r="Q68" s="4197"/>
      <c r="S68" s="4188"/>
      <c r="T68" s="4189"/>
      <c r="U68" s="4189"/>
      <c r="V68" s="4190"/>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7"/>
      <c r="Q69" s="4197"/>
      <c r="R69" s="430"/>
      <c r="S69" s="4188"/>
      <c r="T69" s="4189"/>
      <c r="U69" s="4189"/>
      <c r="V69" s="4190"/>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3" t="str">
        <f>IF(F70="","",F70*G70)</f>
        <v/>
      </c>
      <c r="J70" s="42"/>
      <c r="K70" s="1572" t="str">
        <f>IF('Part V-Revenues &amp; Expenses'!$K$154 =0,"",'Part V-Revenues &amp; Expenses'!$K$154)</f>
        <v/>
      </c>
      <c r="L70" s="843">
        <f>G70*(1+'DCA Underwriting Assumptions'!$Q$12)</f>
        <v>146959.56000000003</v>
      </c>
      <c r="M70" s="40" t="str">
        <f>CONCATENATE("x ", K70," units = ")</f>
        <v xml:space="preserve">x  units = </v>
      </c>
      <c r="N70" s="1573" t="str">
        <f>IF(K70="","",K70*L70)</f>
        <v/>
      </c>
      <c r="O70" s="578"/>
      <c r="P70" s="4198"/>
      <c r="Q70" s="4198"/>
      <c r="R70" s="430"/>
      <c r="S70" s="4191"/>
      <c r="T70" s="4192"/>
      <c r="U70" s="4192"/>
      <c r="V70" s="4193"/>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12</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12 units = </v>
      </c>
      <c r="I71" s="1573">
        <f>IF(F71="","",F71*G71)</f>
        <v>2150950.7999999998</v>
      </c>
      <c r="J71" s="42"/>
      <c r="K71" s="1572" t="str">
        <f>IF('Part V-Revenues &amp; Expenses'!$L$154 =0,"",'Part V-Revenues &amp; Expenses'!$L$154)</f>
        <v/>
      </c>
      <c r="L71" s="843">
        <f>G71*(1+'DCA Underwriting Assumptions'!$Q$12)</f>
        <v>197170.49000000002</v>
      </c>
      <c r="M71" s="40" t="str">
        <f>CONCATENATE("x ", K71," units = ")</f>
        <v xml:space="preserve">x  units = </v>
      </c>
      <c r="N71" s="1573" t="str">
        <f>IF(K71="","",K71*L71)</f>
        <v/>
      </c>
      <c r="O71" s="578"/>
      <c r="P71" s="4217">
        <f>IF(P58&gt;1,P58, IF(OR('Part VIII Scoring Criteria'!$O$112='Part VIII Scoring Criteria'!$M$112,AND('Part III-A-Uses of Funds'!$T$179="Yes",'Part VIII Scoring Criteria'!$O$377&gt;0)),H77+M77,H77))</f>
        <v>9986551.6999999993</v>
      </c>
      <c r="Q71" s="4218"/>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34</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34 units = </v>
      </c>
      <c r="I72" s="1573">
        <f>IF(F72="","",F72*G72)</f>
        <v>7835600.8999999994</v>
      </c>
      <c r="J72" s="42"/>
      <c r="K72" s="1572" t="str">
        <f>IF('Part V-Revenues &amp; Expenses'!$M$154 =0,"",'Part V-Revenues &amp; Expenses'!$M$154)</f>
        <v/>
      </c>
      <c r="L72" s="843">
        <f>G72*(1+'DCA Underwriting Assumptions'!$Q$12)</f>
        <v>253504.73499999999</v>
      </c>
      <c r="M72" s="40" t="str">
        <f>CONCATENATE("x ", K72," units = ")</f>
        <v xml:space="preserve">x  units = </v>
      </c>
      <c r="N72" s="1573" t="str">
        <f>IF(K72="","",K72*L72)</f>
        <v/>
      </c>
      <c r="P72" s="4219"/>
      <c r="Q72" s="4220"/>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3" t="str">
        <f>IF(F73="","",F73*G73)</f>
        <v/>
      </c>
      <c r="J73" s="42"/>
      <c r="K73" s="1572" t="str">
        <f>IF('Part V-Revenues &amp; Expenses'!$N$154 =0,"",'Part V-Revenues &amp; Expenses'!$N$154)</f>
        <v/>
      </c>
      <c r="L73" s="843">
        <f>G73*(1+'DCA Underwriting Assumptions'!$Q$12)</f>
        <v>323310.79000000004</v>
      </c>
      <c r="M73" s="40" t="str">
        <f>CONCATENATE("x ", K73," units = ")</f>
        <v xml:space="preserve">x  units = </v>
      </c>
      <c r="N73" s="1573" t="str">
        <f>IF(K73="","",K73*L73)</f>
        <v/>
      </c>
      <c r="P73" s="4194" t="s">
        <v>3450</v>
      </c>
      <c r="Q73" s="4194"/>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3" t="str">
        <f>IF(F74="","",F74*G74)</f>
        <v/>
      </c>
      <c r="J74" s="42"/>
      <c r="K74" s="1572" t="str">
        <f>IF('Part V-Revenues &amp; Expenses'!$O$154 =0,"",'Part V-Revenues &amp; Expenses'!$O$154)</f>
        <v/>
      </c>
      <c r="L74" s="843">
        <f>G74*(1+'DCA Underwriting Assumptions'!$Q$12)</f>
        <v>404138.79000000004</v>
      </c>
      <c r="M74" s="40" t="str">
        <f>CONCATENATE("x ", K74," units = ")</f>
        <v xml:space="preserve">x  units = </v>
      </c>
      <c r="N74" s="1573" t="str">
        <f>IF(K74="","",K74*L74)</f>
        <v/>
      </c>
      <c r="O74" s="578"/>
      <c r="P74" s="4195"/>
      <c r="Q74" s="4195"/>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46</v>
      </c>
      <c r="G75" s="638"/>
      <c r="H75" s="1107"/>
      <c r="I75" s="1110">
        <f>SUM(I70:I74)</f>
        <v>9986551.6999999993</v>
      </c>
      <c r="J75" s="1109"/>
      <c r="K75" s="1106">
        <f>SUM(K70:K74)</f>
        <v>0</v>
      </c>
      <c r="L75" s="1109"/>
      <c r="M75" s="1107"/>
      <c r="N75" s="1110">
        <f>SUM(N70:N74)</f>
        <v>0</v>
      </c>
      <c r="O75" s="578"/>
      <c r="P75" s="4195"/>
      <c r="Q75" s="4195"/>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5"/>
      <c r="Q76" s="4195"/>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46</v>
      </c>
      <c r="G77" s="341"/>
      <c r="H77" s="4204">
        <f>I54+I61+I68+I75</f>
        <v>9986551.6999999993</v>
      </c>
      <c r="I77" s="4204"/>
      <c r="J77" s="4204"/>
      <c r="K77" s="629">
        <f>K54+K61+K68+K75</f>
        <v>0</v>
      </c>
      <c r="L77" s="630"/>
      <c r="M77" s="4204">
        <f>N54+N61+N68+N75</f>
        <v>0</v>
      </c>
      <c r="N77" s="4204"/>
      <c r="O77" s="4204"/>
      <c r="P77" s="4195"/>
      <c r="Q77" s="4195"/>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6"/>
      <c r="Q78" s="4196"/>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82" priority="2" stopIfTrue="1" operator="greaterThan">
      <formula>0</formula>
    </cfRule>
  </conditionalFormatting>
  <conditionalFormatting sqref="R48:R50">
    <cfRule type="cellIs" dxfId="81" priority="1" stopIfTrue="1" operator="greaterThan">
      <formula>0</formula>
    </cfRule>
  </conditionalFormatting>
  <dataValidations count="2">
    <dataValidation type="list" allowBlank="1" showInputMessage="1" showErrorMessage="1" sqref="Q46">
      <formula1>"Yes, No"</formula1>
    </dataValidation>
    <dataValidation type="list" allowBlank="1" showInputMessage="1" showErrorMessage="1" sqref="P44">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T837"/>
  <sheetViews>
    <sheetView showGridLines="0" topLeftCell="A214" zoomScaleNormal="100" workbookViewId="0">
      <selection activeCell="A247" sqref="A247:P247"/>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Magnolia Villas, Tifton, Tift County</v>
      </c>
      <c r="B1" s="3629"/>
      <c r="C1" s="3629"/>
      <c r="D1" s="3629"/>
      <c r="E1" s="3629"/>
      <c r="F1" s="3629"/>
      <c r="G1" s="3629"/>
      <c r="H1" s="3629"/>
      <c r="I1" s="3629"/>
      <c r="J1" s="3629"/>
      <c r="K1" s="3629"/>
      <c r="L1" s="3629"/>
      <c r="M1" s="3629"/>
      <c r="N1" s="3629"/>
      <c r="O1" s="3629"/>
      <c r="P1" s="3630"/>
      <c r="Q1" s="4238" t="s">
        <v>6652</v>
      </c>
      <c r="R1" s="4238"/>
      <c r="S1" s="4238"/>
      <c r="T1" s="4238"/>
      <c r="U1" s="4238"/>
      <c r="V1" s="4238"/>
      <c r="W1" s="2662"/>
      <c r="X1" s="2601"/>
    </row>
    <row r="2" spans="1:25" s="35" customFormat="1" ht="4.3499999999999996" customHeight="1">
      <c r="A2" s="36"/>
      <c r="B2" s="36"/>
      <c r="C2" s="37"/>
      <c r="D2" s="36"/>
      <c r="E2" s="36"/>
      <c r="F2" s="36"/>
      <c r="G2" s="36"/>
      <c r="H2" s="36"/>
      <c r="I2" s="36"/>
      <c r="J2" s="36"/>
      <c r="K2" s="36"/>
      <c r="L2" s="36"/>
      <c r="M2" s="38"/>
      <c r="N2" s="72"/>
      <c r="O2" s="1203"/>
      <c r="P2" s="1203"/>
      <c r="Q2" s="4238"/>
      <c r="R2" s="4238"/>
      <c r="S2" s="4238"/>
      <c r="T2" s="4238"/>
      <c r="U2" s="4238"/>
      <c r="V2" s="4238"/>
      <c r="W2" s="2662"/>
      <c r="X2" s="2601"/>
    </row>
    <row r="3" spans="1:25" s="42" customFormat="1" ht="12" customHeight="1">
      <c r="A3" s="4367" t="s">
        <v>6666</v>
      </c>
      <c r="B3" s="4367"/>
      <c r="C3" s="4367"/>
      <c r="D3" s="4367"/>
      <c r="E3" s="4367"/>
      <c r="F3" s="4367"/>
      <c r="G3" s="4367"/>
      <c r="H3" s="4367"/>
      <c r="I3" s="4367"/>
      <c r="J3" s="4367"/>
      <c r="K3" s="4367"/>
      <c r="L3" s="4367"/>
      <c r="M3" s="855"/>
      <c r="N3" s="73"/>
      <c r="O3" s="84" t="s">
        <v>2051</v>
      </c>
      <c r="P3" s="1171" t="s">
        <v>245</v>
      </c>
      <c r="Q3" s="4238"/>
      <c r="R3" s="4238"/>
      <c r="S3" s="4238"/>
      <c r="T3" s="4238"/>
      <c r="U3" s="4238"/>
      <c r="V3" s="4238"/>
      <c r="W3" s="2662"/>
      <c r="X3" s="2601"/>
    </row>
    <row r="4" spans="1:25" s="44" customFormat="1" ht="12" customHeight="1">
      <c r="A4" s="4367"/>
      <c r="B4" s="4367"/>
      <c r="C4" s="4367"/>
      <c r="D4" s="4367"/>
      <c r="E4" s="4367"/>
      <c r="F4" s="4367"/>
      <c r="G4" s="4367"/>
      <c r="H4" s="4367"/>
      <c r="I4" s="4367"/>
      <c r="J4" s="4367"/>
      <c r="K4" s="4367"/>
      <c r="L4" s="4367"/>
      <c r="M4" s="855"/>
      <c r="N4" s="85"/>
      <c r="O4" s="186" t="s">
        <v>2052</v>
      </c>
      <c r="P4" s="186" t="s">
        <v>2052</v>
      </c>
      <c r="Q4" s="4238"/>
      <c r="R4" s="4238"/>
      <c r="S4" s="4238"/>
      <c r="T4" s="4238"/>
      <c r="U4" s="4238"/>
      <c r="V4" s="4238"/>
    </row>
    <row r="5" spans="1:25" s="44" customFormat="1" ht="3" customHeight="1" thickBot="1">
      <c r="A5" s="42"/>
      <c r="B5" s="42"/>
      <c r="C5" s="42"/>
      <c r="D5" s="42"/>
      <c r="E5" s="42"/>
      <c r="F5" s="42"/>
      <c r="G5" s="42"/>
      <c r="H5" s="42"/>
      <c r="I5" s="42"/>
      <c r="J5" s="42"/>
      <c r="K5" s="42"/>
      <c r="M5" s="2133"/>
      <c r="N5" s="10"/>
      <c r="O5" s="872"/>
      <c r="P5" s="30"/>
      <c r="Q5" s="4238"/>
      <c r="R5" s="4238"/>
      <c r="S5" s="4238"/>
      <c r="T5" s="4238"/>
      <c r="U5" s="4238"/>
      <c r="V5" s="4238"/>
    </row>
    <row r="6" spans="1:25" s="44" customFormat="1" ht="13.5" customHeight="1" thickTop="1" thickBot="1">
      <c r="A6" s="42"/>
      <c r="B6" s="4391" t="str">
        <f>'Part I-Project Identification'!$A$6</f>
        <v>May 12 2022 Core Application</v>
      </c>
      <c r="C6" s="4391"/>
      <c r="D6" s="4391"/>
      <c r="E6" s="4391"/>
      <c r="F6" s="4391"/>
      <c r="G6" s="484"/>
      <c r="H6" s="42"/>
      <c r="I6" s="42"/>
      <c r="J6" s="42"/>
      <c r="L6" s="69" t="s">
        <v>1153</v>
      </c>
      <c r="M6" s="3"/>
      <c r="N6" s="9"/>
      <c r="O6" s="2099">
        <f>O441</f>
        <v>69</v>
      </c>
      <c r="P6" s="2099">
        <f>P441</f>
        <v>25</v>
      </c>
      <c r="Q6" s="2656" t="s">
        <v>6743</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6139</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6140</v>
      </c>
      <c r="D10" s="52"/>
      <c r="E10" s="52"/>
      <c r="F10" s="52"/>
      <c r="G10" s="66"/>
      <c r="H10" s="185" t="s">
        <v>3834</v>
      </c>
      <c r="I10" s="66"/>
      <c r="J10" s="66"/>
      <c r="K10" s="66"/>
      <c r="L10" s="66"/>
      <c r="M10" s="1497" t="s">
        <v>3833</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388" t="s">
        <v>6500</v>
      </c>
      <c r="G12" s="4388"/>
      <c r="H12" s="4388"/>
      <c r="I12" s="4388"/>
      <c r="J12" s="4388"/>
      <c r="K12" s="4388"/>
      <c r="L12" s="4388"/>
      <c r="M12" s="4388"/>
      <c r="N12" s="4388"/>
      <c r="O12" s="1520" t="s">
        <v>3813</v>
      </c>
      <c r="P12" s="1521">
        <f>SUM(P13:P31)</f>
        <v>0</v>
      </c>
      <c r="Q12" s="4237" t="s">
        <v>6552</v>
      </c>
      <c r="R12" s="4237"/>
      <c r="S12" s="4237"/>
      <c r="T12" s="4237"/>
      <c r="U12" s="4237"/>
      <c r="V12" s="1495"/>
    </row>
    <row r="13" spans="1:25" s="42" customFormat="1" ht="10.5" customHeight="1">
      <c r="A13" s="1183" t="s">
        <v>1669</v>
      </c>
      <c r="B13" s="1180" t="s">
        <v>3395</v>
      </c>
      <c r="C13" s="1181"/>
      <c r="D13" s="1182"/>
      <c r="E13" s="1514">
        <f>$O$102</f>
        <v>20</v>
      </c>
      <c r="F13" s="4389" t="str">
        <f>$A$108</f>
        <v>The project location is within 2.5 miles walking/driving from numerous desirables, including, but not limited to, a grocery store, public school, restaurants, pharmacy, place of worship, FDIC bank and others. The project is eligible for the full 20 desirable points in this section. There are no undesirables. The property does fall within a USDA Food Desert using the most recent USDA data available and showing "LI and LA at 1 and 20 miles" layer, however there is a Publix Grocery store within 1.7 miles from the projects location as well as a Walmart Supercenter within 1.6 miles.</v>
      </c>
      <c r="G13" s="4390"/>
      <c r="H13" s="4390"/>
      <c r="I13" s="4390"/>
      <c r="J13" s="4390"/>
      <c r="K13" s="4390"/>
      <c r="L13" s="4390"/>
      <c r="M13" s="4390"/>
      <c r="N13" s="4390"/>
      <c r="O13" s="4390"/>
      <c r="P13" s="1527"/>
      <c r="Q13" s="4237"/>
      <c r="R13" s="4237"/>
      <c r="S13" s="4237"/>
      <c r="T13" s="4237"/>
      <c r="U13" s="4237"/>
      <c r="V13" s="1495"/>
    </row>
    <row r="14" spans="1:25" s="42" customFormat="1" ht="10.5" customHeight="1">
      <c r="A14" s="1183" t="s">
        <v>496</v>
      </c>
      <c r="B14" s="953" t="s">
        <v>4041</v>
      </c>
      <c r="C14" s="1102"/>
      <c r="D14" s="1184"/>
      <c r="E14" s="2329">
        <f>$O$112</f>
        <v>2</v>
      </c>
      <c r="F14" s="4257" t="str">
        <f>$A$146</f>
        <v>Please see Tab 28 for Community Transportation documentation. Service is offered through Mids, Inc. and the South Georgia Regional Commission. The service is available to all residents of Tift County, is reliable and offer on-call on-site pickup. Additionally, through the South Georgia Regional Commission and the City of Tifton if you are over the age of 60 and need public transportation an option of free transportation is available throught the Tifton Senior Center.</v>
      </c>
      <c r="G14" s="4258"/>
      <c r="H14" s="4258"/>
      <c r="I14" s="4258"/>
      <c r="J14" s="4258"/>
      <c r="K14" s="4258"/>
      <c r="L14" s="4258"/>
      <c r="M14" s="4258"/>
      <c r="N14" s="4258"/>
      <c r="O14" s="4259"/>
      <c r="P14" s="1528"/>
      <c r="Q14" s="4237"/>
      <c r="R14" s="4237"/>
      <c r="S14" s="4237"/>
      <c r="T14" s="4237"/>
      <c r="U14" s="4237"/>
    </row>
    <row r="15" spans="1:25" s="42" customFormat="1" ht="10.5" customHeight="1">
      <c r="A15" s="1183" t="s">
        <v>720</v>
      </c>
      <c r="B15" s="953" t="s">
        <v>3340</v>
      </c>
      <c r="C15" s="1102"/>
      <c r="D15" s="1184"/>
      <c r="E15" s="2329">
        <f>$O$151</f>
        <v>2</v>
      </c>
      <c r="F15" s="4257" t="str">
        <f>$A$164</f>
        <v xml:space="preserve">The property falls within the Tift County Schools District boundary and is in the attendance zone of Matt Wilson Elementary School (Grades KK-5). Per the Tift County School District website, students within the attendance zone for Matt Wilson Elementary attend Eight Street Middle School (Grades 6-8) and all students within the Tift County School District will attend Tift County High School (only high school in the district, Grades 9-12). All schools qualify for points under DCA scoring option C, serving all K-12 grade levels, therefore the project is eleigible for 2 points as a HFOP 55+ tenancy. </v>
      </c>
      <c r="G15" s="4258"/>
      <c r="H15" s="4258"/>
      <c r="I15" s="4258"/>
      <c r="J15" s="4258"/>
      <c r="K15" s="4258"/>
      <c r="L15" s="4258"/>
      <c r="M15" s="4258"/>
      <c r="N15" s="4258"/>
      <c r="O15" s="4259"/>
      <c r="P15" s="1528"/>
      <c r="Q15" s="3295"/>
      <c r="R15" s="3295"/>
      <c r="S15" s="3295"/>
      <c r="T15" s="3295"/>
      <c r="U15" s="3295"/>
    </row>
    <row r="16" spans="1:25" s="42" customFormat="1" ht="10.5" customHeight="1">
      <c r="A16" s="2096" t="s">
        <v>280</v>
      </c>
      <c r="B16" s="953" t="s">
        <v>3396</v>
      </c>
      <c r="C16" s="1102"/>
      <c r="D16" s="1184"/>
      <c r="E16" s="1516">
        <f>$O$168</f>
        <v>7</v>
      </c>
      <c r="F16" s="4257" t="str">
        <f>$A$185</f>
        <v xml:space="preserve">The Magnolia Villas site is located within a qualified census tract that is included in the scope and boundary of the Tift County Carpenter/King/Whiddon Mill Road Corridor Redevelopment Plan. This plan was most recently updated and approved on July 20, 2020. Documentation for this plan and third party capital investment can be found in Tab 30 of the application. </v>
      </c>
      <c r="G16" s="4258"/>
      <c r="H16" s="4258"/>
      <c r="I16" s="4258"/>
      <c r="J16" s="4258"/>
      <c r="K16" s="4258"/>
      <c r="L16" s="4258"/>
      <c r="M16" s="4258"/>
      <c r="N16" s="4258"/>
      <c r="O16" s="4259"/>
      <c r="P16" s="1528"/>
      <c r="Q16" s="3295"/>
      <c r="R16" s="3295"/>
      <c r="S16" s="3295"/>
      <c r="T16" s="3295"/>
      <c r="U16" s="3295"/>
    </row>
    <row r="17" spans="1:35" s="42" customFormat="1" ht="10.5" customHeight="1">
      <c r="A17" s="1183" t="s">
        <v>401</v>
      </c>
      <c r="B17" s="1190" t="s">
        <v>3397</v>
      </c>
      <c r="C17" s="1191"/>
      <c r="D17" s="1192"/>
      <c r="E17" s="1517" t="s">
        <v>1611</v>
      </c>
      <c r="F17" s="4323" t="str">
        <f>$A$200</f>
        <v xml:space="preserve">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7 letters confirming VOASE’s collaboration with 7 community organizations totaling over 76 years of combined partnerships.  Partner organizations cover a vast array of services including employment, health, transportation, and education as well as documented measurable results from each organization. The Community Improvement Fund will be utilized by VOASE to support the challenges and solutions identified through community engagement and outreach and included in the Community Transformation Plan.  VOASE identified members in the community to serve on the Community Quarterback Board who cover employment, local government, and health care sectors as well as two low-income community members who live in the Defined Neighborhood to actively participate in driving the Community Transformation Plan along side VOASE. VOASE has the documented breadth to undertake a meaningful Community Transformation Plan. Additional detail can be found in Tab 31 of the application. </v>
      </c>
      <c r="G17" s="4324"/>
      <c r="H17" s="4324"/>
      <c r="I17" s="4324"/>
      <c r="J17" s="4324"/>
      <c r="K17" s="4324"/>
      <c r="L17" s="4324"/>
      <c r="M17" s="4324"/>
      <c r="N17" s="4324"/>
      <c r="O17" s="4325"/>
      <c r="P17" s="1528"/>
      <c r="Q17" s="3295"/>
      <c r="R17" s="3295"/>
      <c r="S17" s="3295"/>
      <c r="T17" s="3295"/>
      <c r="U17" s="3295"/>
    </row>
    <row r="18" spans="1:35" s="42" customFormat="1" ht="10.5" customHeight="1">
      <c r="A18" s="1183" t="s">
        <v>342</v>
      </c>
      <c r="B18" s="953" t="s">
        <v>4042</v>
      </c>
      <c r="C18" s="1102"/>
      <c r="D18" s="1184"/>
      <c r="E18" s="1515">
        <f>$O$204</f>
        <v>0</v>
      </c>
      <c r="F18" s="4257" t="str">
        <f>$A$219</f>
        <v>Applicant is not claiming points in this section.</v>
      </c>
      <c r="G18" s="4258"/>
      <c r="H18" s="4258"/>
      <c r="I18" s="4258"/>
      <c r="J18" s="4258"/>
      <c r="K18" s="4258"/>
      <c r="L18" s="4258"/>
      <c r="M18" s="4258"/>
      <c r="N18" s="4258"/>
      <c r="O18" s="4259"/>
      <c r="P18" s="1528"/>
      <c r="Q18" s="4318" t="str">
        <f>IF(OR($A$108="",$A$146="",$A$164="",$A$185="",$A$200="",$A$219="",$A$237="",$A$247="",$A$256="",$A$280="",$A$305="",$A$313="",$A$337="",$A$373="",$A$392="",$A$413="",$A$419="",$A$429="",$A$437=""),"Some Applicant Scoring Justification boxes are empty! Check to see if points claimed.","")</f>
        <v/>
      </c>
      <c r="R18" s="4319"/>
      <c r="S18" s="4319"/>
    </row>
    <row r="19" spans="1:35" s="42" customFormat="1" ht="10.5" customHeight="1">
      <c r="A19" s="1183" t="s">
        <v>4044</v>
      </c>
      <c r="B19" s="953" t="s">
        <v>3263</v>
      </c>
      <c r="C19" s="1102"/>
      <c r="D19" s="1184"/>
      <c r="E19" s="1515">
        <f>$O$232</f>
        <v>0</v>
      </c>
      <c r="F19" s="4257" t="str">
        <f>$A$237</f>
        <v>Applicant is not claiming points in this section.</v>
      </c>
      <c r="G19" s="4258"/>
      <c r="H19" s="4258"/>
      <c r="I19" s="4258"/>
      <c r="J19" s="4258"/>
      <c r="K19" s="4258"/>
      <c r="L19" s="4258"/>
      <c r="M19" s="4258"/>
      <c r="N19" s="4258"/>
      <c r="O19" s="4259"/>
      <c r="P19" s="1528"/>
      <c r="Q19" s="4318"/>
      <c r="R19" s="4319"/>
      <c r="S19" s="4319"/>
    </row>
    <row r="20" spans="1:35" s="42" customFormat="1" ht="10.5" customHeight="1">
      <c r="A20" s="1183" t="s">
        <v>4056</v>
      </c>
      <c r="B20" s="953" t="s">
        <v>4045</v>
      </c>
      <c r="C20" s="1102"/>
      <c r="D20" s="1184"/>
      <c r="E20" s="1517">
        <f>$O$241</f>
        <v>0</v>
      </c>
      <c r="F20" s="4257" t="str">
        <f>$A$247</f>
        <v>Applicant is not claiming points in this section. The project is not a phased development.</v>
      </c>
      <c r="G20" s="4258"/>
      <c r="H20" s="4258"/>
      <c r="I20" s="4258"/>
      <c r="J20" s="4258"/>
      <c r="K20" s="4258"/>
      <c r="L20" s="4258"/>
      <c r="M20" s="4258"/>
      <c r="N20" s="4258"/>
      <c r="O20" s="4259"/>
      <c r="P20" s="1528"/>
      <c r="Q20" s="4318"/>
      <c r="R20" s="4319"/>
      <c r="S20" s="4319"/>
    </row>
    <row r="21" spans="1:35" s="42" customFormat="1" ht="10.5" customHeight="1">
      <c r="A21" s="1189" t="s">
        <v>6248</v>
      </c>
      <c r="B21" s="1190" t="s">
        <v>4046</v>
      </c>
      <c r="C21" s="1191"/>
      <c r="D21" s="1192"/>
      <c r="E21" s="1518">
        <f>$O$251</f>
        <v>3</v>
      </c>
      <c r="F21" s="4323" t="str">
        <f>$A$256</f>
        <v>The proposed site is not within a local government boundary that has received an award of tax credits within the last six (6) DCA competitive round cycles. Applicant is eligible for 3 points.</v>
      </c>
      <c r="G21" s="4324"/>
      <c r="H21" s="4324"/>
      <c r="I21" s="4324"/>
      <c r="J21" s="4324"/>
      <c r="K21" s="4324"/>
      <c r="L21" s="4324"/>
      <c r="M21" s="4324"/>
      <c r="N21" s="4324"/>
      <c r="O21" s="4325"/>
      <c r="P21" s="1528"/>
      <c r="Q21" s="4318"/>
      <c r="R21" s="4319"/>
      <c r="S21" s="4319"/>
    </row>
    <row r="22" spans="1:35" s="42" customFormat="1" ht="10.5" customHeight="1">
      <c r="A22" s="1183" t="s">
        <v>6644</v>
      </c>
      <c r="B22" s="953" t="s">
        <v>6556</v>
      </c>
      <c r="C22" s="1102"/>
      <c r="D22" s="1184"/>
      <c r="E22" s="1515">
        <f>$O$273</f>
        <v>0</v>
      </c>
      <c r="F22" s="4257" t="str">
        <f>$A$280</f>
        <v>Applicant is not claiming points in this category. Project is located in a USDA rural area.</v>
      </c>
      <c r="G22" s="4258"/>
      <c r="H22" s="4258"/>
      <c r="I22" s="4258"/>
      <c r="J22" s="4258"/>
      <c r="K22" s="4258"/>
      <c r="L22" s="4258"/>
      <c r="M22" s="4258"/>
      <c r="N22" s="4258"/>
      <c r="O22" s="4259"/>
      <c r="P22" s="1528"/>
      <c r="Q22" s="4318"/>
      <c r="R22" s="4319"/>
      <c r="S22" s="4319"/>
    </row>
    <row r="23" spans="1:35" s="42" customFormat="1" ht="10.5" customHeight="1">
      <c r="A23" s="1183" t="s">
        <v>6646</v>
      </c>
      <c r="B23" s="953" t="s">
        <v>6645</v>
      </c>
      <c r="C23" s="1102"/>
      <c r="D23" s="1184"/>
      <c r="E23" s="1515">
        <f>$O$284</f>
        <v>2</v>
      </c>
      <c r="F23" s="4257" t="str">
        <f>$A$305</f>
        <v>Applicant agrees to engage QB's in the development or operation of the proposed property in amounts equal to approximately 5% of total construction hard costs as certified by the Independent Auditor Report in the Final Allocation Application. Applicant will submit a report with Final Allocation Application describing these efforts and detailing sucesse, obstacles, and other notes pertaining to the Applicant's attempts to follow through on the commitment.</v>
      </c>
      <c r="G23" s="4258"/>
      <c r="H23" s="4258"/>
      <c r="I23" s="4258"/>
      <c r="J23" s="4258"/>
      <c r="K23" s="4258"/>
      <c r="L23" s="4258"/>
      <c r="M23" s="4258"/>
      <c r="N23" s="4258"/>
      <c r="O23" s="4259"/>
      <c r="P23" s="1528"/>
      <c r="Q23" s="4318"/>
      <c r="R23" s="4319"/>
      <c r="S23" s="4319"/>
    </row>
    <row r="24" spans="1:35" s="42" customFormat="1" ht="10.5" customHeight="1">
      <c r="A24" s="2096" t="s">
        <v>3370</v>
      </c>
      <c r="B24" s="2534" t="s">
        <v>6562</v>
      </c>
      <c r="C24" s="2535"/>
      <c r="D24" s="2536"/>
      <c r="E24" s="1516">
        <f>$O$309</f>
        <v>2</v>
      </c>
      <c r="F24" s="4312" t="str">
        <f>$A$313</f>
        <v>Applicant agrees to partner with a CORES certified group to provide services to community resdents.</v>
      </c>
      <c r="G24" s="4313"/>
      <c r="H24" s="4313"/>
      <c r="I24" s="4313"/>
      <c r="J24" s="4313"/>
      <c r="K24" s="4313"/>
      <c r="L24" s="4313"/>
      <c r="M24" s="4313"/>
      <c r="N24" s="4313"/>
      <c r="O24" s="4314"/>
      <c r="P24" s="1528"/>
      <c r="Q24" s="4318"/>
      <c r="R24" s="4319"/>
      <c r="S24" s="4319"/>
    </row>
    <row r="25" spans="1:35" s="42" customFormat="1" ht="10.5" customHeight="1">
      <c r="A25" s="1183" t="s">
        <v>3374</v>
      </c>
      <c r="B25" s="953" t="s">
        <v>3398</v>
      </c>
      <c r="C25" s="1102"/>
      <c r="D25" s="1184"/>
      <c r="E25" s="1515">
        <f>$O$333</f>
        <v>2</v>
      </c>
      <c r="F25" s="4257" t="str">
        <f>$A$337</f>
        <v>Please see Tab 41 for the GICH teams support letter executed by the primary contact on record and the letter from the Local government agreeing to the issuance of the support letter and also indicating that the proposed Magnolia Villas is located within the Tifton GICH community boundaries on EB Hamilton Road, which is a rapidly growing area within their community.</v>
      </c>
      <c r="G25" s="4258"/>
      <c r="H25" s="4258"/>
      <c r="I25" s="4258"/>
      <c r="J25" s="4258"/>
      <c r="K25" s="4258"/>
      <c r="L25" s="4258"/>
      <c r="M25" s="4258"/>
      <c r="N25" s="4258"/>
      <c r="O25" s="4259"/>
      <c r="P25" s="1528"/>
      <c r="Q25" s="4318"/>
      <c r="R25" s="4319"/>
      <c r="S25" s="4319"/>
    </row>
    <row r="26" spans="1:35" s="42" customFormat="1" ht="10.5" customHeight="1">
      <c r="A26" s="1183" t="s">
        <v>3377</v>
      </c>
      <c r="B26" s="953" t="s">
        <v>3399</v>
      </c>
      <c r="C26" s="1102"/>
      <c r="D26" s="1184"/>
      <c r="E26" s="1515">
        <f>$O$341</f>
        <v>0</v>
      </c>
      <c r="F26" s="4257" t="str">
        <f>$A$373</f>
        <v>Applicant is not claiming points in this category.</v>
      </c>
      <c r="G26" s="4258"/>
      <c r="H26" s="4258"/>
      <c r="I26" s="4258"/>
      <c r="J26" s="4258"/>
      <c r="K26" s="4258"/>
      <c r="L26" s="4258"/>
      <c r="M26" s="4258"/>
      <c r="N26" s="4258"/>
      <c r="O26" s="4259"/>
      <c r="P26" s="1528"/>
      <c r="Q26" s="4318"/>
      <c r="R26" s="4319"/>
      <c r="S26" s="4319"/>
    </row>
    <row r="27" spans="1:35" s="42" customFormat="1" ht="10.5" customHeight="1">
      <c r="A27" s="1183" t="s">
        <v>3378</v>
      </c>
      <c r="B27" s="953" t="s">
        <v>3400</v>
      </c>
      <c r="C27" s="1102"/>
      <c r="D27" s="1184"/>
      <c r="E27" s="1517">
        <f>$O$377</f>
        <v>0</v>
      </c>
      <c r="F27" s="4257" t="str">
        <f>$A$392</f>
        <v>The project is new construction only. Applicant is not claiming points in this section.</v>
      </c>
      <c r="G27" s="4258"/>
      <c r="H27" s="4258"/>
      <c r="I27" s="4258"/>
      <c r="J27" s="4258"/>
      <c r="K27" s="4258"/>
      <c r="L27" s="4258"/>
      <c r="M27" s="4258"/>
      <c r="N27" s="4258"/>
      <c r="O27" s="4259"/>
      <c r="P27" s="1528"/>
      <c r="Q27" s="2652"/>
      <c r="R27" s="2128"/>
      <c r="S27" s="2128"/>
      <c r="AA27" s="4"/>
      <c r="AB27" s="4"/>
      <c r="AC27" s="4"/>
      <c r="AD27" s="4"/>
      <c r="AE27" s="4"/>
      <c r="AF27" s="4"/>
    </row>
    <row r="28" spans="1:35" s="42" customFormat="1" ht="10.5" customHeight="1">
      <c r="A28" s="1185" t="s">
        <v>3380</v>
      </c>
      <c r="B28" s="1186" t="s">
        <v>6643</v>
      </c>
      <c r="C28" s="1187"/>
      <c r="D28" s="1188"/>
      <c r="E28" s="2116">
        <f>$O$404</f>
        <v>2</v>
      </c>
      <c r="F28" s="4274" t="str">
        <f>$A$413</f>
        <v>The Applicant has controlling interest in the General Partnership and has agreed to contract with DCA PBRA under a prior QAP.</v>
      </c>
      <c r="G28" s="4275"/>
      <c r="H28" s="4275"/>
      <c r="I28" s="4275"/>
      <c r="J28" s="4275"/>
      <c r="K28" s="4275"/>
      <c r="L28" s="4275"/>
      <c r="M28" s="4275"/>
      <c r="N28" s="4275"/>
      <c r="O28" s="4276"/>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6136</v>
      </c>
      <c r="C29" s="1102"/>
      <c r="D29" s="1184"/>
      <c r="E29" s="1515">
        <f>$O$417</f>
        <v>0</v>
      </c>
      <c r="F29" s="4257" t="str">
        <f>$A$419</f>
        <v>NA</v>
      </c>
      <c r="G29" s="4258"/>
      <c r="H29" s="4258"/>
      <c r="I29" s="4258"/>
      <c r="J29" s="4258"/>
      <c r="K29" s="4258"/>
      <c r="L29" s="4258"/>
      <c r="M29" s="4258"/>
      <c r="N29" s="4258"/>
      <c r="O29" s="4259"/>
      <c r="P29" s="1528"/>
      <c r="Q29" s="2652"/>
      <c r="R29" s="2128"/>
      <c r="S29" s="2128"/>
    </row>
    <row r="30" spans="1:35" s="42" customFormat="1" ht="10.5" customHeight="1">
      <c r="A30" s="1183" t="s">
        <v>3806</v>
      </c>
      <c r="B30" s="953" t="s">
        <v>6560</v>
      </c>
      <c r="C30" s="1102"/>
      <c r="D30" s="1184"/>
      <c r="E30" s="1515">
        <f>$O$427</f>
        <v>0</v>
      </c>
      <c r="F30" s="4257" t="str">
        <f>$A$429</f>
        <v>NA</v>
      </c>
      <c r="G30" s="4258"/>
      <c r="H30" s="4258"/>
      <c r="I30" s="4258"/>
      <c r="J30" s="4258"/>
      <c r="K30" s="4258"/>
      <c r="L30" s="4258"/>
      <c r="M30" s="4258"/>
      <c r="N30" s="4258"/>
      <c r="O30" s="4259"/>
      <c r="P30" s="1528"/>
      <c r="Q30" s="2652"/>
      <c r="R30" s="2128"/>
      <c r="S30" s="2128"/>
      <c r="AA30" s="3891" t="s">
        <v>6570</v>
      </c>
      <c r="AB30" s="3891"/>
      <c r="AC30" s="3891"/>
      <c r="AD30" s="3891"/>
      <c r="AE30" s="3891"/>
      <c r="AF30" s="3891"/>
    </row>
    <row r="31" spans="1:35" s="42" customFormat="1" ht="10.5" customHeight="1">
      <c r="A31" s="1185" t="s">
        <v>6563</v>
      </c>
      <c r="B31" s="1186" t="s">
        <v>6561</v>
      </c>
      <c r="C31" s="1187"/>
      <c r="D31" s="1188"/>
      <c r="E31" s="2116">
        <f>$O$433</f>
        <v>0</v>
      </c>
      <c r="F31" s="4274" t="str">
        <f>$A$437</f>
        <v>NA</v>
      </c>
      <c r="G31" s="4275"/>
      <c r="H31" s="4275"/>
      <c r="I31" s="4275"/>
      <c r="J31" s="4275"/>
      <c r="K31" s="4275"/>
      <c r="L31" s="4275"/>
      <c r="M31" s="4275"/>
      <c r="N31" s="4275"/>
      <c r="O31" s="4276"/>
      <c r="P31" s="1529"/>
      <c r="Q31" s="2652"/>
      <c r="R31" s="2128"/>
      <c r="S31" s="2128"/>
      <c r="X31" s="3891" t="s">
        <v>6571</v>
      </c>
      <c r="Y31" s="3891"/>
      <c r="Z31" s="3891"/>
      <c r="AA31" s="3891"/>
      <c r="AB31" s="3891"/>
      <c r="AC31" s="3891"/>
      <c r="AD31" s="3891" t="s">
        <v>6572</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6141</v>
      </c>
      <c r="C33" s="103"/>
      <c r="D33" s="90"/>
      <c r="E33" s="90"/>
      <c r="F33" s="90"/>
      <c r="G33" s="4326" t="s">
        <v>6129</v>
      </c>
      <c r="H33" s="4326"/>
      <c r="I33" s="4320" t="s">
        <v>6510</v>
      </c>
      <c r="J33" s="4321"/>
      <c r="K33" s="4321"/>
      <c r="L33" s="4322"/>
      <c r="M33" s="4392" t="s">
        <v>6142</v>
      </c>
      <c r="N33" s="4392"/>
      <c r="O33" s="4392"/>
      <c r="P33" s="4392"/>
      <c r="Q33" s="1972"/>
      <c r="R33" s="1972"/>
      <c r="S33" s="107" t="s">
        <v>6141</v>
      </c>
      <c r="T33" s="1972"/>
      <c r="U33" s="1972"/>
      <c r="V33" s="1972"/>
      <c r="X33" s="4306" t="s">
        <v>6129</v>
      </c>
      <c r="Y33" s="4308"/>
      <c r="Z33" s="4306" t="s">
        <v>6510</v>
      </c>
      <c r="AA33" s="4307"/>
      <c r="AB33" s="4307"/>
      <c r="AC33" s="4308"/>
      <c r="AD33" s="4315" t="s">
        <v>6129</v>
      </c>
      <c r="AE33" s="4316"/>
      <c r="AF33" s="4317" t="s">
        <v>6510</v>
      </c>
      <c r="AG33" s="4315"/>
      <c r="AH33" s="4315"/>
      <c r="AI33" s="4316"/>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309" t="str">
        <f>'Part I-Project Identification'!F12</f>
        <v>9% Credit Competitive Round only</v>
      </c>
      <c r="N34" s="4310"/>
      <c r="O34" s="4310"/>
      <c r="P34" s="4311"/>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6130</v>
      </c>
      <c r="C35" s="2268"/>
      <c r="D35" s="2269"/>
      <c r="E35" s="2269"/>
      <c r="F35" s="2269"/>
      <c r="G35" s="2270">
        <v>10</v>
      </c>
      <c r="H35" s="2271">
        <v>10</v>
      </c>
      <c r="I35" s="2271">
        <v>10</v>
      </c>
      <c r="J35" s="2270">
        <v>10</v>
      </c>
      <c r="K35" s="2272">
        <v>10</v>
      </c>
      <c r="L35" s="2272">
        <v>10</v>
      </c>
      <c r="Q35" s="1969"/>
      <c r="R35" s="2409" t="s">
        <v>691</v>
      </c>
      <c r="S35" s="2267" t="s">
        <v>6130</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6131</v>
      </c>
      <c r="C36" s="2274"/>
      <c r="D36" s="2275"/>
      <c r="E36" s="2275"/>
      <c r="F36" s="2275"/>
      <c r="G36" s="2276">
        <v>3</v>
      </c>
      <c r="H36" s="2277">
        <v>3</v>
      </c>
      <c r="I36" s="2277"/>
      <c r="J36" s="2276"/>
      <c r="K36" s="2278"/>
      <c r="L36" s="2278"/>
      <c r="M36" s="2654" t="s">
        <v>6143</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6131</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4041</v>
      </c>
      <c r="C38" s="2274"/>
      <c r="D38" s="2275"/>
      <c r="E38" s="2275"/>
      <c r="F38" s="2275"/>
      <c r="G38" s="2276">
        <v>6</v>
      </c>
      <c r="H38" s="2277">
        <v>4</v>
      </c>
      <c r="I38" s="2277"/>
      <c r="J38" s="2276"/>
      <c r="K38" s="2278"/>
      <c r="L38" s="2278"/>
      <c r="Q38" s="1969"/>
      <c r="R38" s="2409" t="s">
        <v>496</v>
      </c>
      <c r="S38" s="2273" t="s">
        <v>4041</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393" t="s">
        <v>6569</v>
      </c>
      <c r="N39" s="4394"/>
      <c r="O39" s="4394"/>
      <c r="P39" s="4394"/>
      <c r="Q39" s="1969"/>
      <c r="R39" s="2409" t="s">
        <v>720</v>
      </c>
      <c r="S39" s="2273" t="s">
        <v>3340</v>
      </c>
      <c r="T39" s="2468"/>
      <c r="U39" s="2469"/>
      <c r="V39" s="2469"/>
      <c r="W39" s="2469"/>
      <c r="X39" s="2276">
        <f>O151</f>
        <v>2</v>
      </c>
      <c r="Y39" s="2349">
        <f>O151</f>
        <v>2</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393"/>
      <c r="N40" s="4394"/>
      <c r="O40" s="4394"/>
      <c r="P40" s="4394"/>
      <c r="Q40" s="1969"/>
      <c r="R40" s="2409" t="s">
        <v>280</v>
      </c>
      <c r="S40" s="2273" t="s">
        <v>3396</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6564</v>
      </c>
      <c r="N41" s="183"/>
      <c r="O41" s="183"/>
      <c r="P41" s="1559" t="s">
        <v>2651</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4042</v>
      </c>
      <c r="C42" s="2274"/>
      <c r="D42" s="2275"/>
      <c r="E42" s="2275"/>
      <c r="F42" s="2275"/>
      <c r="G42" s="2276">
        <v>10</v>
      </c>
      <c r="H42" s="2277">
        <v>5</v>
      </c>
      <c r="I42" s="2277"/>
      <c r="J42" s="2276"/>
      <c r="K42" s="2278"/>
      <c r="L42" s="2278"/>
      <c r="M42" s="183" t="s">
        <v>3308</v>
      </c>
      <c r="N42" s="183"/>
      <c r="O42" s="183"/>
      <c r="P42" s="2358" t="s">
        <v>2654</v>
      </c>
      <c r="Q42" s="1969"/>
      <c r="R42" s="2409" t="s">
        <v>342</v>
      </c>
      <c r="S42" s="2273" t="s">
        <v>4042</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6132</v>
      </c>
      <c r="C43" s="2274"/>
      <c r="D43" s="2275"/>
      <c r="E43" s="2275"/>
      <c r="F43" s="2275"/>
      <c r="G43" s="2276">
        <v>1</v>
      </c>
      <c r="H43" s="2277"/>
      <c r="I43" s="2277"/>
      <c r="J43" s="2276"/>
      <c r="K43" s="2278"/>
      <c r="L43" s="2278"/>
      <c r="M43" s="2417" t="s">
        <v>6147</v>
      </c>
      <c r="N43" s="2463"/>
      <c r="O43" s="2463"/>
      <c r="P43" s="2359" t="s">
        <v>2654</v>
      </c>
      <c r="Q43" s="1969"/>
      <c r="R43" s="2409" t="s">
        <v>343</v>
      </c>
      <c r="S43" s="2273" t="s">
        <v>6132</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6518</v>
      </c>
      <c r="N44" s="2463"/>
      <c r="O44" s="568" t="s">
        <v>6146</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6133</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6133</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4046</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3371</v>
      </c>
      <c r="S46" s="2273" t="s">
        <v>4046</v>
      </c>
      <c r="T46" s="2470"/>
      <c r="U46" s="2471"/>
      <c r="V46" s="2471"/>
      <c r="W46" s="2471"/>
      <c r="X46" s="2332">
        <f>O251</f>
        <v>3</v>
      </c>
      <c r="Y46" s="2349"/>
      <c r="Z46" s="2348"/>
      <c r="AA46" s="2403"/>
      <c r="AB46" s="2403"/>
      <c r="AC46" s="2406"/>
      <c r="AD46" s="2336">
        <f>P251</f>
        <v>0</v>
      </c>
      <c r="AE46" s="2277"/>
      <c r="AF46" s="2276"/>
      <c r="AG46" s="2477"/>
      <c r="AH46" s="2477"/>
      <c r="AI46" s="2277"/>
    </row>
    <row r="47" spans="1:46" s="160" customFormat="1" ht="10.5" customHeight="1">
      <c r="A47" s="2409" t="s">
        <v>2081</v>
      </c>
      <c r="B47" s="2273" t="s">
        <v>3807</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3807</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6556</v>
      </c>
      <c r="C48" s="2279"/>
      <c r="D48" s="2280"/>
      <c r="E48" s="2280"/>
      <c r="F48" s="2280"/>
      <c r="G48" s="2276">
        <v>2</v>
      </c>
      <c r="H48" s="2277">
        <v>2</v>
      </c>
      <c r="I48" s="2277">
        <v>2</v>
      </c>
      <c r="J48" s="2276">
        <v>2</v>
      </c>
      <c r="K48" s="2278">
        <v>2</v>
      </c>
      <c r="L48" s="2278">
        <v>2</v>
      </c>
      <c r="M48" s="2460" t="s">
        <v>6567</v>
      </c>
      <c r="N48" s="2461"/>
      <c r="O48" s="2462"/>
      <c r="P48" s="2497" t="s">
        <v>2654</v>
      </c>
      <c r="R48" s="2409" t="s">
        <v>3371</v>
      </c>
      <c r="S48" s="2273" t="s">
        <v>6556</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46</v>
      </c>
    </row>
    <row r="49" spans="1:46" s="160" customFormat="1" ht="10.5" customHeight="1">
      <c r="A49" s="2409" t="s">
        <v>3372</v>
      </c>
      <c r="B49" s="2273" t="s">
        <v>6557</v>
      </c>
      <c r="C49" s="2279"/>
      <c r="D49" s="2280"/>
      <c r="E49" s="2280"/>
      <c r="F49" s="2280"/>
      <c r="G49" s="2276">
        <v>2</v>
      </c>
      <c r="H49" s="2277">
        <v>2</v>
      </c>
      <c r="I49" s="2277">
        <v>2</v>
      </c>
      <c r="J49" s="2276">
        <v>2</v>
      </c>
      <c r="K49" s="2278">
        <v>2</v>
      </c>
      <c r="L49" s="2278">
        <v>2</v>
      </c>
      <c r="M49" s="183" t="s">
        <v>6568</v>
      </c>
      <c r="N49" s="586"/>
      <c r="O49" s="586"/>
      <c r="P49" s="595" t="str">
        <f>'Part II-Sources of Funds'!$L$14</f>
        <v>No</v>
      </c>
      <c r="R49" s="2409" t="s">
        <v>3372</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6562</v>
      </c>
      <c r="C50" s="2279"/>
      <c r="D50" s="2280"/>
      <c r="E50" s="2280"/>
      <c r="F50" s="2280"/>
      <c r="G50" s="2276">
        <v>2</v>
      </c>
      <c r="H50" s="2277"/>
      <c r="I50" s="2277"/>
      <c r="J50" s="2276">
        <v>2</v>
      </c>
      <c r="K50" s="2278">
        <v>2</v>
      </c>
      <c r="L50" s="2278">
        <v>2</v>
      </c>
      <c r="Q50" s="1969"/>
      <c r="R50" s="2409" t="s">
        <v>3370</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6134</v>
      </c>
      <c r="C51" s="2279"/>
      <c r="D51" s="2280"/>
      <c r="E51" s="2280"/>
      <c r="F51" s="2280"/>
      <c r="G51" s="2276">
        <v>2</v>
      </c>
      <c r="H51" s="2277"/>
      <c r="I51" s="2277"/>
      <c r="J51" s="2276">
        <v>2</v>
      </c>
      <c r="K51" s="2278">
        <v>2</v>
      </c>
      <c r="L51" s="2278">
        <v>2</v>
      </c>
      <c r="M51" s="4529" t="s">
        <v>6741</v>
      </c>
      <c r="N51" s="4530"/>
      <c r="O51" s="4530"/>
      <c r="P51" s="4530"/>
      <c r="Q51" s="536"/>
      <c r="R51" s="2409" t="s">
        <v>3373</v>
      </c>
      <c r="S51" s="2273" t="s">
        <v>6134</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529"/>
      <c r="N52" s="4530"/>
      <c r="O52" s="4530"/>
      <c r="P52" s="4530"/>
      <c r="R52" s="2409" t="s">
        <v>3374</v>
      </c>
      <c r="S52" s="2273" t="s">
        <v>3398</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531"/>
      <c r="N53" s="4532"/>
      <c r="O53" s="4532"/>
      <c r="P53" s="4532"/>
      <c r="R53" s="2409" t="s">
        <v>3377</v>
      </c>
      <c r="S53" s="2273" t="s">
        <v>3399</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395" t="s">
        <v>6129</v>
      </c>
      <c r="N54" s="4396"/>
      <c r="O54" s="4396"/>
      <c r="P54" s="4397"/>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6135</v>
      </c>
      <c r="C55" s="2279"/>
      <c r="D55" s="2280"/>
      <c r="E55" s="2280"/>
      <c r="F55" s="2280"/>
      <c r="G55" s="2276">
        <v>10</v>
      </c>
      <c r="H55" s="2277">
        <v>10</v>
      </c>
      <c r="I55" s="2277">
        <v>10</v>
      </c>
      <c r="J55" s="2276">
        <v>10</v>
      </c>
      <c r="K55" s="2278">
        <v>10</v>
      </c>
      <c r="L55" s="2278">
        <v>10</v>
      </c>
      <c r="M55" s="4398"/>
      <c r="N55" s="4399"/>
      <c r="O55" s="4399"/>
      <c r="P55" s="4400"/>
      <c r="R55" s="2409" t="s">
        <v>3379</v>
      </c>
      <c r="S55" s="2273" t="s">
        <v>6135</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6558</v>
      </c>
      <c r="C56" s="2279"/>
      <c r="D56" s="2280"/>
      <c r="E56" s="2280"/>
      <c r="F56" s="2280"/>
      <c r="G56" s="2276">
        <v>3</v>
      </c>
      <c r="H56" s="2277">
        <v>3</v>
      </c>
      <c r="I56" s="2277">
        <v>3</v>
      </c>
      <c r="J56" s="2276">
        <v>3</v>
      </c>
      <c r="K56" s="2278">
        <v>3</v>
      </c>
      <c r="L56" s="2278">
        <v>3</v>
      </c>
      <c r="R56" s="2409" t="s">
        <v>3380</v>
      </c>
      <c r="S56" s="2273" t="s">
        <v>6558</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3381</v>
      </c>
      <c r="B57" s="2273" t="s">
        <v>6136</v>
      </c>
      <c r="C57" s="2279"/>
      <c r="D57" s="2280"/>
      <c r="E57" s="2280"/>
      <c r="F57" s="2280"/>
      <c r="G57" s="2276"/>
      <c r="H57" s="2277"/>
      <c r="I57" s="2277">
        <v>6</v>
      </c>
      <c r="J57" s="2276">
        <v>6</v>
      </c>
      <c r="K57" s="2278">
        <v>6</v>
      </c>
      <c r="L57" s="2278">
        <v>6</v>
      </c>
      <c r="M57" s="4393" t="s">
        <v>6144</v>
      </c>
      <c r="N57" s="4394"/>
      <c r="O57" s="4394"/>
      <c r="P57" s="4394"/>
      <c r="Q57" s="1969"/>
      <c r="R57" s="2409" t="s">
        <v>3381</v>
      </c>
      <c r="S57" s="2273" t="s">
        <v>6136</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6559</v>
      </c>
      <c r="C58" s="2279"/>
      <c r="D58" s="2280"/>
      <c r="E58" s="2280"/>
      <c r="F58" s="2280"/>
      <c r="G58" s="2276"/>
      <c r="H58" s="2277"/>
      <c r="I58" s="2277">
        <v>6</v>
      </c>
      <c r="J58" s="2276">
        <v>6</v>
      </c>
      <c r="K58" s="2278">
        <v>6</v>
      </c>
      <c r="L58" s="2278">
        <v>6</v>
      </c>
      <c r="M58" s="4527"/>
      <c r="N58" s="4528"/>
      <c r="O58" s="4528"/>
      <c r="P58" s="4528"/>
      <c r="Q58" s="1969"/>
      <c r="R58" s="2409" t="s">
        <v>3382</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3806</v>
      </c>
      <c r="B59" s="2273" t="s">
        <v>6560</v>
      </c>
      <c r="C59" s="2279"/>
      <c r="D59" s="2280"/>
      <c r="E59" s="2280"/>
      <c r="F59" s="2280"/>
      <c r="G59" s="2276"/>
      <c r="H59" s="2277"/>
      <c r="I59" s="2277">
        <v>4</v>
      </c>
      <c r="J59" s="2276">
        <v>4</v>
      </c>
      <c r="K59" s="2278">
        <v>4</v>
      </c>
      <c r="L59" s="2278">
        <v>4</v>
      </c>
      <c r="M59" s="4249" t="s">
        <v>2393</v>
      </c>
      <c r="N59" s="4250"/>
      <c r="O59" s="4250"/>
      <c r="P59" s="4251"/>
      <c r="R59" s="2409" t="s">
        <v>3806</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252"/>
      <c r="N60" s="4253"/>
      <c r="O60" s="4253"/>
      <c r="P60" s="4254"/>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6249</v>
      </c>
      <c r="E62" s="1913"/>
      <c r="F62" s="2135"/>
      <c r="G62" s="2136">
        <f t="shared" ref="G62:L62" si="0">SUM(G35:G60)</f>
        <v>114</v>
      </c>
      <c r="H62" s="2136">
        <f t="shared" si="0"/>
        <v>69</v>
      </c>
      <c r="I62" s="2136">
        <f t="shared" si="0"/>
        <v>55</v>
      </c>
      <c r="J62" s="2136">
        <f t="shared" si="0"/>
        <v>61</v>
      </c>
      <c r="K62" s="2136">
        <f t="shared" si="0"/>
        <v>63</v>
      </c>
      <c r="L62" s="2136">
        <f t="shared" si="0"/>
        <v>61</v>
      </c>
      <c r="M62" s="46"/>
      <c r="N62" s="62"/>
      <c r="O62" s="3"/>
      <c r="P62" s="872"/>
      <c r="R62" s="42"/>
      <c r="S62" s="42"/>
      <c r="T62" s="103"/>
      <c r="U62" s="103"/>
      <c r="V62" s="103"/>
      <c r="W62" s="103"/>
      <c r="X62" s="2343">
        <f t="shared" ref="X62:AI62" si="1">SUM(X35:X60)</f>
        <v>69</v>
      </c>
      <c r="Y62" s="2343">
        <f t="shared" si="1"/>
        <v>61</v>
      </c>
      <c r="Z62" s="2343">
        <f t="shared" si="1"/>
        <v>30</v>
      </c>
      <c r="AA62" s="2343">
        <f t="shared" si="1"/>
        <v>32</v>
      </c>
      <c r="AB62" s="2343">
        <f t="shared" si="1"/>
        <v>34</v>
      </c>
      <c r="AC62" s="2343">
        <f t="shared" si="1"/>
        <v>34</v>
      </c>
      <c r="AD62" s="2343">
        <f t="shared" si="1"/>
        <v>25</v>
      </c>
      <c r="AE62" s="2343">
        <f t="shared" si="1"/>
        <v>25</v>
      </c>
      <c r="AF62" s="2343">
        <f t="shared" si="1"/>
        <v>22</v>
      </c>
      <c r="AG62" s="2343">
        <f t="shared" si="1"/>
        <v>22</v>
      </c>
      <c r="AH62" s="2343">
        <f t="shared" si="1"/>
        <v>22</v>
      </c>
      <c r="AI62" s="2343">
        <f t="shared" si="1"/>
        <v>22</v>
      </c>
    </row>
    <row r="63" spans="1:46" s="42" customFormat="1" ht="13.5" customHeight="1" thickBot="1">
      <c r="A63" s="154" t="s">
        <v>691</v>
      </c>
      <c r="B63" s="107" t="s">
        <v>2498</v>
      </c>
      <c r="C63" s="4"/>
      <c r="D63" s="4"/>
      <c r="E63" s="4"/>
      <c r="F63" s="52"/>
      <c r="G63" s="52"/>
      <c r="H63" s="185" t="s">
        <v>3832</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3808</v>
      </c>
      <c r="D65" s="48"/>
      <c r="E65" s="48"/>
      <c r="F65" s="1207"/>
      <c r="N65" s="64" t="s">
        <v>1842</v>
      </c>
      <c r="P65" s="2093">
        <f>SUM(P66:P68)</f>
        <v>0</v>
      </c>
      <c r="Q65" s="36" t="s">
        <v>6247</v>
      </c>
    </row>
    <row r="66" spans="1:20" s="43" customFormat="1" ht="12.75" customHeight="1">
      <c r="A66" s="191"/>
      <c r="B66" s="2094" t="s">
        <v>1845</v>
      </c>
      <c r="C66" s="111" t="s">
        <v>3811</v>
      </c>
      <c r="D66" s="48"/>
      <c r="E66" s="48"/>
      <c r="F66" s="1207"/>
      <c r="H66" s="185" t="s">
        <v>3177</v>
      </c>
      <c r="J66" s="49"/>
      <c r="N66" s="415" t="s">
        <v>1845</v>
      </c>
      <c r="P66" s="1152">
        <f>F74</f>
        <v>0</v>
      </c>
    </row>
    <row r="67" spans="1:20" s="43" customFormat="1" ht="12.75" customHeight="1">
      <c r="A67" s="191"/>
      <c r="B67" s="2094" t="s">
        <v>1847</v>
      </c>
      <c r="C67" s="111" t="s">
        <v>6246</v>
      </c>
      <c r="D67" s="48"/>
      <c r="E67" s="48"/>
      <c r="F67" s="1490"/>
      <c r="H67" s="185" t="s">
        <v>3809</v>
      </c>
      <c r="J67" s="49"/>
      <c r="N67" s="415" t="s">
        <v>1847</v>
      </c>
      <c r="P67" s="1493">
        <f>J74</f>
        <v>0</v>
      </c>
    </row>
    <row r="68" spans="1:20" s="43" customFormat="1" ht="12.75" customHeight="1">
      <c r="A68" s="191"/>
      <c r="B68" s="2094" t="s">
        <v>2333</v>
      </c>
      <c r="C68" s="111" t="s">
        <v>3810</v>
      </c>
      <c r="D68" s="48"/>
      <c r="E68" s="48"/>
      <c r="F68" s="1490"/>
      <c r="H68" s="185" t="s">
        <v>3814</v>
      </c>
      <c r="J68" s="49"/>
      <c r="N68" s="415" t="s">
        <v>2333</v>
      </c>
      <c r="P68" s="1494"/>
    </row>
    <row r="69" spans="1:20" s="43" customFormat="1" ht="12.75" customHeight="1">
      <c r="C69" s="4303" t="s">
        <v>3898</v>
      </c>
      <c r="D69" s="4304"/>
      <c r="E69" s="4304"/>
      <c r="F69" s="4304"/>
      <c r="G69" s="4304"/>
      <c r="H69" s="4304"/>
      <c r="I69" s="4304"/>
      <c r="J69" s="4304"/>
      <c r="K69" s="4304"/>
      <c r="L69" s="4304"/>
      <c r="M69" s="4304"/>
      <c r="N69" s="4304"/>
      <c r="O69" s="4304"/>
      <c r="P69" s="4305"/>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6247</v>
      </c>
    </row>
    <row r="72" spans="1:20" s="453" customFormat="1" ht="3" customHeight="1">
      <c r="A72" s="595"/>
      <c r="B72" s="592"/>
      <c r="C72" s="593"/>
      <c r="D72" s="140"/>
      <c r="K72" s="881"/>
      <c r="L72" s="881"/>
      <c r="M72" s="1019"/>
      <c r="N72" s="415"/>
      <c r="O72" s="886"/>
      <c r="P72" s="886"/>
    </row>
    <row r="73" spans="1:20" s="42" customFormat="1" ht="12.75" customHeight="1">
      <c r="A73" s="4214" t="s">
        <v>6075</v>
      </c>
      <c r="B73" s="4214"/>
      <c r="C73" s="4214"/>
      <c r="D73" s="4214"/>
      <c r="E73" s="4214"/>
      <c r="F73" s="1492" t="s">
        <v>3392</v>
      </c>
      <c r="G73" s="4380" t="s">
        <v>6077</v>
      </c>
      <c r="H73" s="4380"/>
      <c r="I73" s="4380"/>
      <c r="J73" s="1492" t="s">
        <v>3392</v>
      </c>
      <c r="K73" s="4384" t="s">
        <v>6076</v>
      </c>
      <c r="L73" s="4384"/>
      <c r="M73" s="4384"/>
      <c r="N73" s="4384"/>
      <c r="O73" s="4378" t="s">
        <v>3392</v>
      </c>
      <c r="P73" s="4379"/>
      <c r="R73" s="468"/>
      <c r="S73" s="159"/>
    </row>
    <row r="74" spans="1:20" s="42" customFormat="1" ht="12.75" customHeight="1">
      <c r="A74" s="4377"/>
      <c r="B74" s="4377"/>
      <c r="C74" s="4377"/>
      <c r="D74" s="4377"/>
      <c r="E74" s="4377"/>
      <c r="F74" s="76">
        <f>SUM(F75:F86)</f>
        <v>0</v>
      </c>
      <c r="G74" s="4381"/>
      <c r="H74" s="4382"/>
      <c r="I74" s="4383"/>
      <c r="J74" s="76">
        <f>SUM(J75:J86)</f>
        <v>0</v>
      </c>
      <c r="K74" s="4385"/>
      <c r="L74" s="4386"/>
      <c r="M74" s="4386"/>
      <c r="N74" s="4387"/>
      <c r="O74" s="4368">
        <f>SUM(O75:O86)</f>
        <v>0</v>
      </c>
      <c r="P74" s="4369"/>
      <c r="Q74" s="468"/>
      <c r="R74" s="159"/>
    </row>
    <row r="75" spans="1:20" s="42" customFormat="1" ht="24.75" customHeight="1">
      <c r="A75" s="4370">
        <v>1</v>
      </c>
      <c r="B75" s="4371"/>
      <c r="C75" s="4371"/>
      <c r="D75" s="4371"/>
      <c r="E75" s="4372"/>
      <c r="F75" s="866"/>
      <c r="G75" s="4370">
        <v>1</v>
      </c>
      <c r="H75" s="4371"/>
      <c r="I75" s="4372"/>
      <c r="J75" s="870" t="s">
        <v>1611</v>
      </c>
      <c r="K75" s="4373">
        <v>1</v>
      </c>
      <c r="L75" s="4374"/>
      <c r="M75" s="4374"/>
      <c r="N75" s="4374"/>
      <c r="O75" s="4375" t="s">
        <v>1611</v>
      </c>
      <c r="P75" s="4376"/>
      <c r="Q75" s="466" t="s">
        <v>1181</v>
      </c>
      <c r="R75" s="159"/>
    </row>
    <row r="76" spans="1:20" s="42" customFormat="1" ht="24.75" customHeight="1">
      <c r="A76" s="4260">
        <v>2</v>
      </c>
      <c r="B76" s="4261"/>
      <c r="C76" s="4261"/>
      <c r="D76" s="4261"/>
      <c r="E76" s="4262"/>
      <c r="F76" s="867"/>
      <c r="G76" s="4260">
        <v>2</v>
      </c>
      <c r="H76" s="4261"/>
      <c r="I76" s="4262"/>
      <c r="J76" s="867"/>
      <c r="K76" s="4296">
        <v>2</v>
      </c>
      <c r="L76" s="4297"/>
      <c r="M76" s="4297"/>
      <c r="N76" s="4297"/>
      <c r="O76" s="4255"/>
      <c r="P76" s="4256"/>
      <c r="Q76" s="467"/>
      <c r="R76" s="159"/>
    </row>
    <row r="77" spans="1:20" s="42" customFormat="1" ht="24.75" customHeight="1">
      <c r="A77" s="4260">
        <v>3</v>
      </c>
      <c r="B77" s="4261"/>
      <c r="C77" s="4261"/>
      <c r="D77" s="4261"/>
      <c r="E77" s="4262"/>
      <c r="F77" s="867"/>
      <c r="G77" s="4260">
        <v>3</v>
      </c>
      <c r="H77" s="4261"/>
      <c r="I77" s="4262"/>
      <c r="J77" s="1193" t="s">
        <v>2578</v>
      </c>
      <c r="K77" s="4296">
        <v>3</v>
      </c>
      <c r="L77" s="4297"/>
      <c r="M77" s="4297"/>
      <c r="N77" s="4297"/>
      <c r="O77" s="4489" t="s">
        <v>2578</v>
      </c>
      <c r="P77" s="4490"/>
      <c r="Q77" s="4533" t="s">
        <v>3812</v>
      </c>
      <c r="R77" s="4534"/>
      <c r="S77" s="1495"/>
      <c r="T77" s="1495"/>
    </row>
    <row r="78" spans="1:20" s="42" customFormat="1" ht="24.75" customHeight="1">
      <c r="A78" s="4260">
        <v>4</v>
      </c>
      <c r="B78" s="4261"/>
      <c r="C78" s="4261"/>
      <c r="D78" s="4261"/>
      <c r="E78" s="4262"/>
      <c r="F78" s="867"/>
      <c r="G78" s="4260">
        <v>4</v>
      </c>
      <c r="H78" s="4261"/>
      <c r="I78" s="4262"/>
      <c r="J78" s="867"/>
      <c r="K78" s="4296">
        <v>4</v>
      </c>
      <c r="L78" s="4297"/>
      <c r="M78" s="4297"/>
      <c r="N78" s="4297"/>
      <c r="O78" s="4489" t="s">
        <v>2578</v>
      </c>
      <c r="P78" s="4490"/>
      <c r="Q78" s="4533"/>
      <c r="R78" s="4534"/>
      <c r="S78" s="1495"/>
      <c r="T78" s="1495"/>
    </row>
    <row r="79" spans="1:20" s="42" customFormat="1" ht="24.75" customHeight="1">
      <c r="A79" s="4260">
        <v>5</v>
      </c>
      <c r="B79" s="4261"/>
      <c r="C79" s="4261"/>
      <c r="D79" s="4261"/>
      <c r="E79" s="4262"/>
      <c r="F79" s="867"/>
      <c r="G79" s="4260">
        <v>5</v>
      </c>
      <c r="H79" s="4261"/>
      <c r="I79" s="4262"/>
      <c r="J79" s="1193" t="s">
        <v>3147</v>
      </c>
      <c r="K79" s="4296">
        <v>5</v>
      </c>
      <c r="L79" s="4297"/>
      <c r="M79" s="4297"/>
      <c r="N79" s="4297"/>
      <c r="O79" s="4255"/>
      <c r="P79" s="4256"/>
      <c r="Q79" s="4533"/>
      <c r="R79" s="4534"/>
      <c r="S79" s="1495"/>
      <c r="T79" s="1495"/>
    </row>
    <row r="80" spans="1:20" s="42" customFormat="1" ht="24" customHeight="1">
      <c r="A80" s="4260">
        <v>6</v>
      </c>
      <c r="B80" s="4261"/>
      <c r="C80" s="4261"/>
      <c r="D80" s="4261"/>
      <c r="E80" s="4262"/>
      <c r="F80" s="867"/>
      <c r="G80" s="4260">
        <v>6</v>
      </c>
      <c r="H80" s="4261"/>
      <c r="I80" s="4262"/>
      <c r="J80" s="867"/>
      <c r="K80" s="4296">
        <v>6</v>
      </c>
      <c r="L80" s="4297"/>
      <c r="M80" s="4297"/>
      <c r="N80" s="4297"/>
      <c r="O80" s="4255"/>
      <c r="P80" s="4256"/>
      <c r="Q80" s="4533"/>
      <c r="R80" s="4534"/>
    </row>
    <row r="81" spans="1:19" s="42" customFormat="1" ht="24.75" customHeight="1">
      <c r="A81" s="4260">
        <v>7</v>
      </c>
      <c r="B81" s="4261"/>
      <c r="C81" s="4261"/>
      <c r="D81" s="4261"/>
      <c r="E81" s="4262"/>
      <c r="F81" s="867"/>
      <c r="G81" s="4260">
        <v>7</v>
      </c>
      <c r="H81" s="4261"/>
      <c r="I81" s="4262"/>
      <c r="J81" s="1193" t="s">
        <v>3148</v>
      </c>
      <c r="K81" s="4296">
        <v>7</v>
      </c>
      <c r="L81" s="4297"/>
      <c r="M81" s="4297"/>
      <c r="N81" s="4297"/>
      <c r="O81" s="4255"/>
      <c r="P81" s="4256"/>
      <c r="Q81" s="159"/>
      <c r="R81" s="159"/>
    </row>
    <row r="82" spans="1:19" s="42" customFormat="1" ht="24.75" customHeight="1">
      <c r="A82" s="4260">
        <v>8</v>
      </c>
      <c r="B82" s="4261"/>
      <c r="C82" s="4261"/>
      <c r="D82" s="4261"/>
      <c r="E82" s="4262"/>
      <c r="F82" s="867"/>
      <c r="G82" s="4260">
        <v>8</v>
      </c>
      <c r="H82" s="4261"/>
      <c r="I82" s="4262"/>
      <c r="J82" s="867"/>
      <c r="K82" s="4296">
        <v>8</v>
      </c>
      <c r="L82" s="4297"/>
      <c r="M82" s="4297"/>
      <c r="N82" s="4297"/>
      <c r="O82" s="4255"/>
      <c r="P82" s="4256"/>
      <c r="Q82" s="159"/>
      <c r="R82" s="159"/>
    </row>
    <row r="83" spans="1:19" s="42" customFormat="1" ht="24.75" customHeight="1">
      <c r="A83" s="4260">
        <v>9</v>
      </c>
      <c r="B83" s="4261"/>
      <c r="C83" s="4261"/>
      <c r="D83" s="4261"/>
      <c r="E83" s="4262"/>
      <c r="F83" s="867"/>
      <c r="G83" s="4260">
        <v>9</v>
      </c>
      <c r="H83" s="4261"/>
      <c r="I83" s="4262"/>
      <c r="J83" s="1193" t="s">
        <v>3149</v>
      </c>
      <c r="K83" s="4296">
        <v>9</v>
      </c>
      <c r="L83" s="4297"/>
      <c r="M83" s="4297"/>
      <c r="N83" s="4297"/>
      <c r="O83" s="4255"/>
      <c r="P83" s="4256"/>
      <c r="Q83" s="159"/>
      <c r="R83" s="159"/>
    </row>
    <row r="84" spans="1:19" s="42" customFormat="1" ht="24.75" customHeight="1">
      <c r="A84" s="4260">
        <v>10</v>
      </c>
      <c r="B84" s="4261"/>
      <c r="C84" s="4261"/>
      <c r="D84" s="4261"/>
      <c r="E84" s="4262"/>
      <c r="F84" s="867"/>
      <c r="G84" s="4260">
        <v>10</v>
      </c>
      <c r="H84" s="4261"/>
      <c r="I84" s="4262"/>
      <c r="J84" s="867"/>
      <c r="K84" s="4296">
        <v>10</v>
      </c>
      <c r="L84" s="4297"/>
      <c r="M84" s="4297"/>
      <c r="N84" s="4297"/>
      <c r="O84" s="4255"/>
      <c r="P84" s="4256"/>
      <c r="Q84" s="159"/>
    </row>
    <row r="85" spans="1:19" s="42" customFormat="1" ht="24.75" customHeight="1">
      <c r="A85" s="4260">
        <v>11</v>
      </c>
      <c r="B85" s="4261"/>
      <c r="C85" s="4261"/>
      <c r="D85" s="4261"/>
      <c r="E85" s="4262"/>
      <c r="F85" s="867"/>
      <c r="G85" s="4260">
        <v>11</v>
      </c>
      <c r="H85" s="4261"/>
      <c r="I85" s="4262"/>
      <c r="J85" s="1193" t="s">
        <v>3150</v>
      </c>
      <c r="K85" s="4260">
        <v>11</v>
      </c>
      <c r="L85" s="4261"/>
      <c r="M85" s="4261"/>
      <c r="N85" s="4262"/>
      <c r="O85" s="4255"/>
      <c r="P85" s="4256"/>
      <c r="Q85" s="159"/>
      <c r="R85" s="159"/>
    </row>
    <row r="86" spans="1:19" s="42" customFormat="1" ht="24.75" customHeight="1">
      <c r="A86" s="4282">
        <v>12</v>
      </c>
      <c r="B86" s="4283"/>
      <c r="C86" s="4283"/>
      <c r="D86" s="4283"/>
      <c r="E86" s="4284"/>
      <c r="F86" s="868"/>
      <c r="G86" s="4282">
        <v>12</v>
      </c>
      <c r="H86" s="4283"/>
      <c r="I86" s="4284"/>
      <c r="J86" s="868"/>
      <c r="K86" s="4282">
        <v>12</v>
      </c>
      <c r="L86" s="4283"/>
      <c r="M86" s="4283"/>
      <c r="N86" s="4284"/>
      <c r="O86" s="4285"/>
      <c r="P86" s="4286"/>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3929</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3821</v>
      </c>
      <c r="G89" s="88"/>
      <c r="H89" s="52"/>
      <c r="I89" s="45"/>
      <c r="K89" s="533"/>
      <c r="L89" s="871"/>
      <c r="M89" s="872"/>
      <c r="N89" s="7"/>
      <c r="O89" s="3"/>
      <c r="P89" s="3"/>
      <c r="Q89" s="110"/>
      <c r="R89" s="401"/>
    </row>
    <row r="90" spans="1:19" s="43" customFormat="1" ht="13.5" customHeight="1">
      <c r="A90" s="139" t="s">
        <v>1842</v>
      </c>
      <c r="B90" s="882" t="s">
        <v>6145</v>
      </c>
      <c r="E90" s="57"/>
      <c r="G90" s="88"/>
      <c r="H90" s="55" t="s">
        <v>6653</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524" t="s">
        <v>3815</v>
      </c>
      <c r="C91" s="4524"/>
      <c r="D91" s="4524"/>
      <c r="E91" s="4524"/>
      <c r="F91" s="4524"/>
      <c r="G91" s="4524"/>
      <c r="H91" s="4524"/>
      <c r="I91" s="4524"/>
      <c r="J91" s="4524"/>
      <c r="K91" s="4524"/>
      <c r="L91" s="4524"/>
      <c r="M91" s="872"/>
      <c r="N91" s="7"/>
      <c r="Q91" s="7"/>
      <c r="R91" s="401"/>
    </row>
    <row r="92" spans="1:19" s="103" customFormat="1" ht="13.5" customHeight="1">
      <c r="B92" s="4524"/>
      <c r="C92" s="4524"/>
      <c r="D92" s="4524"/>
      <c r="E92" s="4524"/>
      <c r="F92" s="4524"/>
      <c r="G92" s="4524"/>
      <c r="H92" s="4524"/>
      <c r="I92" s="4524"/>
      <c r="J92" s="4524"/>
      <c r="K92" s="4524"/>
      <c r="L92" s="4524"/>
      <c r="M92" s="877">
        <v>2</v>
      </c>
      <c r="N92" s="415" t="s">
        <v>1842</v>
      </c>
      <c r="O92" s="887">
        <f>IF(AND($J$88="9%",$L$88="New Supply"),MIN($M92,O93+O94),0)</f>
        <v>2</v>
      </c>
      <c r="P92" s="887">
        <f>IF(NOT($J$88="9%"),0,MIN($M92, P93+P94))</f>
        <v>0</v>
      </c>
    </row>
    <row r="93" spans="1:19" s="103" customFormat="1" ht="13.5" customHeight="1">
      <c r="A93" s="139"/>
      <c r="B93" s="1512" t="s">
        <v>1845</v>
      </c>
      <c r="C93" s="1500" t="s">
        <v>3816</v>
      </c>
      <c r="D93" s="52"/>
      <c r="H93" s="52" t="s">
        <v>3817</v>
      </c>
      <c r="I93" s="1498"/>
      <c r="J93" s="1567">
        <f>'Part V-Revenues &amp; Expenses'!B50</f>
        <v>57.826086956521742</v>
      </c>
      <c r="L93" s="4472" t="str">
        <f>IF(AND(O93&gt;0,O94&gt;0), "CHOOSE EITHER A OR B, NOT BOTH!", "")</f>
        <v/>
      </c>
      <c r="M93" s="1019">
        <v>2</v>
      </c>
      <c r="N93" s="187" t="s">
        <v>1845</v>
      </c>
      <c r="O93" s="534">
        <v>2</v>
      </c>
      <c r="P93" s="544"/>
      <c r="Q93" s="1532" t="str">
        <f>IF(OR($O93=$M93,$O93=0,$O93=""),"","*CHECK!*")</f>
        <v/>
      </c>
      <c r="R93" s="1001" t="s">
        <v>4062</v>
      </c>
    </row>
    <row r="94" spans="1:19" s="103" customFormat="1" ht="13.5" customHeight="1">
      <c r="A94" s="1499" t="s">
        <v>2986</v>
      </c>
      <c r="B94" s="1512" t="s">
        <v>1847</v>
      </c>
      <c r="C94" s="1500" t="s">
        <v>3818</v>
      </c>
      <c r="D94" s="52"/>
      <c r="I94" s="1498"/>
      <c r="K94" s="52"/>
      <c r="L94" s="4472"/>
      <c r="M94" s="1019">
        <v>2</v>
      </c>
      <c r="N94" s="187" t="s">
        <v>1847</v>
      </c>
      <c r="O94" s="535"/>
      <c r="P94" s="545"/>
      <c r="Q94" s="1532" t="str">
        <f>IF(OR($O94=$M94,$O94=0,$O94=""),"","*CHECK!*")</f>
        <v/>
      </c>
      <c r="R94" s="1001" t="s">
        <v>4062</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7" t="s">
        <v>3819</v>
      </c>
      <c r="I96" s="4268"/>
      <c r="J96" s="1503" t="s">
        <v>3820</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46</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287" t="s">
        <v>4047</v>
      </c>
      <c r="J105" s="4288"/>
      <c r="K105" s="4288"/>
      <c r="L105" s="4289"/>
      <c r="M105" s="598">
        <v>20</v>
      </c>
      <c r="N105" s="187" t="s">
        <v>1842</v>
      </c>
      <c r="O105" s="2321">
        <v>20</v>
      </c>
      <c r="P105" s="2322"/>
      <c r="Q105" s="1532"/>
      <c r="R105" s="1001" t="s">
        <v>4062</v>
      </c>
    </row>
    <row r="106" spans="1:21" s="103" customFormat="1" ht="12.75" customHeight="1">
      <c r="A106" s="139" t="s">
        <v>1844</v>
      </c>
      <c r="B106" s="177" t="s">
        <v>3281</v>
      </c>
      <c r="D106" s="1120"/>
      <c r="F106" s="1566"/>
      <c r="H106" s="840" t="s">
        <v>3339</v>
      </c>
      <c r="I106" s="4290"/>
      <c r="J106" s="4291"/>
      <c r="K106" s="4291"/>
      <c r="L106" s="4292"/>
      <c r="M106" s="1558" t="s">
        <v>1165</v>
      </c>
      <c r="N106" s="478" t="s">
        <v>1844</v>
      </c>
      <c r="O106" s="2323">
        <v>0</v>
      </c>
      <c r="P106" s="2324"/>
      <c r="R106" s="1001" t="s">
        <v>4062</v>
      </c>
    </row>
    <row r="107" spans="1:21" s="43" customFormat="1" ht="12.75" customHeight="1" thickBot="1">
      <c r="A107" s="42"/>
      <c r="B107" s="1197" t="s">
        <v>3242</v>
      </c>
      <c r="C107" s="42"/>
      <c r="D107" s="48"/>
      <c r="E107" s="48"/>
      <c r="F107" s="48"/>
      <c r="G107" s="48"/>
      <c r="H107" s="36"/>
      <c r="I107" s="4293"/>
      <c r="J107" s="4294"/>
      <c r="K107" s="4294"/>
      <c r="L107" s="4295"/>
      <c r="M107" s="46"/>
      <c r="N107" s="62"/>
      <c r="O107" s="3"/>
      <c r="P107" s="1205"/>
    </row>
    <row r="108" spans="1:21" s="43" customFormat="1" ht="90" customHeight="1" thickTop="1" thickBot="1">
      <c r="A108" s="4242" t="s">
        <v>6960</v>
      </c>
      <c r="B108" s="4243"/>
      <c r="C108" s="4243"/>
      <c r="D108" s="4243"/>
      <c r="E108" s="4243"/>
      <c r="F108" s="4243"/>
      <c r="G108" s="4243"/>
      <c r="H108" s="4243"/>
      <c r="I108" s="4243"/>
      <c r="J108" s="4243"/>
      <c r="K108" s="4243"/>
      <c r="L108" s="4243"/>
      <c r="M108" s="4243"/>
      <c r="N108" s="4243"/>
      <c r="O108" s="4243"/>
      <c r="P108" s="4244"/>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6148</v>
      </c>
      <c r="I112" s="2112" t="s">
        <v>6144</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3822</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3823</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6150</v>
      </c>
      <c r="D116" s="1120"/>
      <c r="E116" s="103"/>
      <c r="F116" s="103"/>
      <c r="G116" s="103"/>
      <c r="H116" s="45"/>
      <c r="I116" s="49"/>
      <c r="J116" s="48"/>
      <c r="K116" s="48"/>
      <c r="L116" s="103"/>
      <c r="M116" s="103"/>
      <c r="N116" s="478"/>
      <c r="O116" s="389" t="s">
        <v>6940</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6940</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349" t="s">
        <v>3218</v>
      </c>
      <c r="G122" s="4349"/>
      <c r="H122" s="4349"/>
      <c r="I122" s="4349"/>
      <c r="J122" s="4349" t="s">
        <v>3219</v>
      </c>
      <c r="K122" s="4349"/>
      <c r="L122" s="4349"/>
      <c r="M122" s="4349"/>
      <c r="N122" s="478"/>
      <c r="O122" s="4350" t="s">
        <v>3888</v>
      </c>
      <c r="P122" s="4351"/>
      <c r="Q122" s="110"/>
      <c r="R122" s="2437"/>
      <c r="S122" s="2437"/>
      <c r="T122" s="2437"/>
      <c r="U122" s="2437"/>
    </row>
    <row r="123" spans="1:21" s="43" customFormat="1" ht="12" customHeight="1">
      <c r="B123" s="2436"/>
      <c r="C123" s="2434" t="s">
        <v>6576</v>
      </c>
      <c r="E123" s="291"/>
      <c r="F123" s="4300">
        <v>31.459440000000001</v>
      </c>
      <c r="G123" s="4301"/>
      <c r="H123" s="4264"/>
      <c r="I123" s="4265"/>
      <c r="J123" s="4300">
        <v>-83.550449999999998</v>
      </c>
      <c r="K123" s="4301"/>
      <c r="L123" s="4264"/>
      <c r="M123" s="4265"/>
      <c r="N123" s="478"/>
      <c r="Q123" s="110"/>
      <c r="R123" s="2437"/>
      <c r="S123" s="2437"/>
      <c r="T123" s="2437"/>
      <c r="U123" s="2437"/>
    </row>
    <row r="124" spans="1:21" s="43" customFormat="1" ht="12" customHeight="1">
      <c r="A124" s="2436"/>
      <c r="B124" s="2436"/>
      <c r="C124" s="2436"/>
      <c r="D124" s="414"/>
      <c r="E124" s="2435" t="s">
        <v>6151</v>
      </c>
      <c r="F124" s="4473">
        <v>31.459440000000001</v>
      </c>
      <c r="G124" s="4474"/>
      <c r="H124" s="4480"/>
      <c r="I124" s="4481"/>
      <c r="J124" s="4473">
        <v>-83.550449999999998</v>
      </c>
      <c r="K124" s="4474"/>
      <c r="L124" s="4480"/>
      <c r="M124" s="4481"/>
      <c r="N124" s="478"/>
      <c r="O124" s="1627">
        <v>0</v>
      </c>
      <c r="P124" s="1173"/>
      <c r="Q124" s="110"/>
      <c r="R124" s="2437"/>
      <c r="S124" s="2437"/>
      <c r="T124" s="2437"/>
      <c r="U124" s="2437"/>
    </row>
    <row r="125" spans="1:21" s="43" customFormat="1" ht="12" customHeight="1">
      <c r="A125" s="4486" t="s">
        <v>6687</v>
      </c>
      <c r="B125" s="4486"/>
      <c r="C125" s="2434" t="s">
        <v>6575</v>
      </c>
      <c r="E125" s="291"/>
      <c r="F125" s="4475"/>
      <c r="G125" s="4476"/>
      <c r="H125" s="4491"/>
      <c r="I125" s="4492"/>
      <c r="J125" s="4475"/>
      <c r="K125" s="4476"/>
      <c r="L125" s="4491"/>
      <c r="M125" s="4492"/>
      <c r="N125" s="478"/>
      <c r="O125" s="478"/>
      <c r="P125" s="478"/>
      <c r="Q125" s="110"/>
      <c r="R125" s="2437"/>
      <c r="S125" s="2437"/>
      <c r="T125" s="2437"/>
      <c r="U125" s="2437"/>
    </row>
    <row r="126" spans="1:21" s="43" customFormat="1" ht="12" customHeight="1">
      <c r="A126" s="4486"/>
      <c r="B126" s="4486"/>
      <c r="C126" s="414"/>
      <c r="D126" s="414"/>
      <c r="E126" s="2435" t="s">
        <v>3367</v>
      </c>
      <c r="F126" s="4346"/>
      <c r="G126" s="4347"/>
      <c r="H126" s="4478"/>
      <c r="I126" s="4479"/>
      <c r="J126" s="4346"/>
      <c r="K126" s="4347"/>
      <c r="L126" s="4478"/>
      <c r="M126" s="447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6709</v>
      </c>
      <c r="B128" s="106"/>
      <c r="D128" s="41"/>
      <c r="I128" s="4482" t="str">
        <f>IF(AND(O130&gt;0,O137&gt;0),"Pick A or B, not both!","")</f>
        <v/>
      </c>
      <c r="J128" s="4482"/>
      <c r="K128" s="4482" t="str">
        <f>IF(AND(P130&gt;0,P137&gt;0),"Pick A or B, not both!","")</f>
        <v/>
      </c>
      <c r="L128" s="4482"/>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6691</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6152</v>
      </c>
      <c r="D131" s="41"/>
      <c r="F131" s="45"/>
      <c r="M131" s="1974"/>
      <c r="N131" s="415"/>
      <c r="O131" s="231" t="s">
        <v>6940</v>
      </c>
      <c r="P131" s="551"/>
      <c r="Q131" s="110"/>
    </row>
    <row r="132" spans="1:21" s="436" customFormat="1" ht="25.5" customHeight="1">
      <c r="B132" s="462" t="s">
        <v>1845</v>
      </c>
      <c r="C132" s="4348" t="s">
        <v>6685</v>
      </c>
      <c r="D132" s="4348"/>
      <c r="E132" s="4348"/>
      <c r="F132" s="4348"/>
      <c r="G132" s="4348"/>
      <c r="H132" s="4348"/>
      <c r="I132" s="4348"/>
      <c r="J132" s="4348"/>
      <c r="K132" s="4348"/>
      <c r="L132" s="4348"/>
      <c r="M132" s="2454">
        <v>6</v>
      </c>
      <c r="N132" s="493" t="s">
        <v>1845</v>
      </c>
      <c r="O132" s="2580"/>
      <c r="P132" s="2581"/>
      <c r="Q132" s="1532"/>
      <c r="R132" s="1001" t="s">
        <v>4062</v>
      </c>
    </row>
    <row r="133" spans="1:21" s="436" customFormat="1" ht="12" customHeight="1">
      <c r="A133" s="595" t="s">
        <v>1276</v>
      </c>
      <c r="B133" s="462" t="s">
        <v>1847</v>
      </c>
      <c r="C133" s="4266" t="s">
        <v>6686</v>
      </c>
      <c r="D133" s="4266"/>
      <c r="E133" s="4266"/>
      <c r="F133" s="4266"/>
      <c r="G133" s="2572"/>
      <c r="J133" s="4352" t="s">
        <v>6682</v>
      </c>
      <c r="K133" s="4353"/>
      <c r="L133" s="4354"/>
      <c r="M133" s="598">
        <v>5</v>
      </c>
      <c r="N133" s="460" t="s">
        <v>1847</v>
      </c>
      <c r="O133" s="2596"/>
      <c r="P133" s="2597"/>
      <c r="Q133" s="2391" t="s">
        <v>6678</v>
      </c>
      <c r="R133" s="1492" t="s">
        <v>6269</v>
      </c>
      <c r="S133" s="1492" t="s">
        <v>6149</v>
      </c>
    </row>
    <row r="134" spans="1:21" s="436" customFormat="1" ht="12" customHeight="1">
      <c r="B134" s="462"/>
      <c r="C134" s="4266"/>
      <c r="D134" s="4266"/>
      <c r="E134" s="4266"/>
      <c r="F134" s="4266"/>
      <c r="G134" s="2572"/>
      <c r="H134" s="4225" t="s">
        <v>6680</v>
      </c>
      <c r="I134" s="4225"/>
      <c r="J134" s="4355"/>
      <c r="K134" s="4356"/>
      <c r="L134" s="4357"/>
      <c r="M134" s="4493" t="str">
        <f>IF(AND(O133&gt;0,O132&gt;0),"Pick A1 or A2!","")</f>
        <v/>
      </c>
      <c r="N134" s="4494"/>
      <c r="O134" s="4494"/>
      <c r="P134" s="4494"/>
      <c r="Q134" s="1004"/>
      <c r="R134" s="1983">
        <v>0.25</v>
      </c>
      <c r="S134" s="1983">
        <v>5</v>
      </c>
    </row>
    <row r="135" spans="1:21" s="436" customFormat="1" ht="12" customHeight="1">
      <c r="B135" s="462"/>
      <c r="C135" s="4266"/>
      <c r="D135" s="4266"/>
      <c r="E135" s="4266"/>
      <c r="F135" s="4266"/>
      <c r="G135" s="2572"/>
      <c r="H135" s="2326"/>
      <c r="I135" s="2574"/>
      <c r="J135" s="4355"/>
      <c r="K135" s="4356"/>
      <c r="L135" s="4357"/>
      <c r="Q135" s="1004"/>
      <c r="R135" s="1983">
        <v>0.5</v>
      </c>
      <c r="S135" s="1983">
        <v>4.5</v>
      </c>
    </row>
    <row r="136" spans="1:21" s="436" customFormat="1" ht="12" customHeight="1">
      <c r="B136" s="462"/>
      <c r="C136" s="4266"/>
      <c r="D136" s="4266"/>
      <c r="E136" s="4266"/>
      <c r="F136" s="4266"/>
      <c r="G136" s="2572"/>
      <c r="J136" s="4355"/>
      <c r="K136" s="4356"/>
      <c r="L136" s="4357"/>
      <c r="M136" s="103"/>
      <c r="N136" s="103"/>
      <c r="O136" s="103"/>
      <c r="P136" s="103"/>
      <c r="Q136" s="522"/>
      <c r="R136" s="1984">
        <v>1</v>
      </c>
      <c r="S136" s="1984">
        <v>4</v>
      </c>
    </row>
    <row r="137" spans="1:21" s="436" customFormat="1" ht="42" customHeight="1">
      <c r="A137" s="144" t="s">
        <v>1844</v>
      </c>
      <c r="B137" s="1146" t="s">
        <v>3240</v>
      </c>
      <c r="C137" s="649"/>
      <c r="D137" s="649"/>
      <c r="F137" s="2571" t="s">
        <v>6677</v>
      </c>
      <c r="J137" s="4277" t="s">
        <v>6966</v>
      </c>
      <c r="K137" s="4278"/>
      <c r="L137" s="2433" t="s">
        <v>6969</v>
      </c>
      <c r="M137" s="1675">
        <v>3</v>
      </c>
      <c r="N137" s="478" t="s">
        <v>1844</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6679</v>
      </c>
      <c r="R137" s="2575">
        <v>0.25</v>
      </c>
      <c r="S137" s="2575">
        <v>3</v>
      </c>
    </row>
    <row r="138" spans="1:21" s="43" customFormat="1" ht="22.5" customHeight="1">
      <c r="A138" s="154"/>
      <c r="B138" s="2132" t="s">
        <v>1845</v>
      </c>
      <c r="C138" s="4266" t="s">
        <v>6692</v>
      </c>
      <c r="D138" s="4266"/>
      <c r="E138" s="4266"/>
      <c r="F138" s="4266"/>
      <c r="G138" s="2572"/>
      <c r="H138" s="4225" t="s">
        <v>6681</v>
      </c>
      <c r="I138" s="4225"/>
      <c r="J138" s="4279" t="s">
        <v>6967</v>
      </c>
      <c r="K138" s="4280"/>
      <c r="L138" s="4281"/>
      <c r="M138" s="598">
        <v>3</v>
      </c>
      <c r="N138" s="460" t="s">
        <v>1845</v>
      </c>
      <c r="O138" s="4522"/>
      <c r="P138" s="4525"/>
      <c r="Q138" s="1004" t="str">
        <f>IF(OR($O140=$M140,$O140=0,$O140=""),"","*CHECK!*")</f>
        <v/>
      </c>
      <c r="R138" s="1983">
        <v>0.5</v>
      </c>
      <c r="S138" s="1983">
        <v>2</v>
      </c>
      <c r="U138" s="436"/>
    </row>
    <row r="139" spans="1:21" s="43" customFormat="1" ht="12" customHeight="1">
      <c r="A139" s="154"/>
      <c r="B139" s="2555"/>
      <c r="C139" s="4266"/>
      <c r="D139" s="4266"/>
      <c r="E139" s="4266"/>
      <c r="F139" s="4266"/>
      <c r="G139" s="103"/>
      <c r="H139" s="2326"/>
      <c r="I139" s="2574"/>
      <c r="J139" s="4509" t="s">
        <v>6968</v>
      </c>
      <c r="K139" s="4510"/>
      <c r="L139" s="4511"/>
      <c r="M139" s="103"/>
      <c r="O139" s="4523"/>
      <c r="P139" s="4526"/>
      <c r="Q139" s="110"/>
      <c r="R139" s="1984">
        <v>1</v>
      </c>
      <c r="S139" s="1984">
        <v>1</v>
      </c>
      <c r="U139" s="436"/>
    </row>
    <row r="140" spans="1:21" s="43" customFormat="1" ht="11.25" customHeight="1">
      <c r="A140" s="595" t="s">
        <v>1276</v>
      </c>
      <c r="B140" s="2132" t="s">
        <v>1847</v>
      </c>
      <c r="C140" s="4266" t="s">
        <v>6684</v>
      </c>
      <c r="D140" s="4266"/>
      <c r="E140" s="4266"/>
      <c r="F140" s="4266"/>
      <c r="G140" s="4266"/>
      <c r="H140" s="4266"/>
      <c r="I140" s="2573"/>
      <c r="J140" s="4512"/>
      <c r="K140" s="4513"/>
      <c r="L140" s="4514"/>
      <c r="M140" s="598">
        <v>1</v>
      </c>
      <c r="N140" s="460" t="s">
        <v>1847</v>
      </c>
      <c r="O140" s="4302"/>
      <c r="P140" s="4485"/>
      <c r="U140" s="436"/>
    </row>
    <row r="141" spans="1:21" s="43" customFormat="1" ht="16.5" customHeight="1">
      <c r="B141" s="2576"/>
      <c r="C141" s="4266"/>
      <c r="D141" s="4266"/>
      <c r="E141" s="4266"/>
      <c r="F141" s="4266"/>
      <c r="G141" s="4266"/>
      <c r="H141" s="4266"/>
      <c r="I141" s="2573"/>
      <c r="J141" s="4515"/>
      <c r="K141" s="4516"/>
      <c r="L141" s="4517"/>
      <c r="O141" s="4302"/>
      <c r="P141" s="4485"/>
      <c r="T141" s="436"/>
      <c r="U141" s="436"/>
    </row>
    <row r="142" spans="1:21" s="436" customFormat="1" ht="12" customHeight="1">
      <c r="A142" s="2131" t="s">
        <v>1276</v>
      </c>
      <c r="B142" s="2132" t="s">
        <v>2333</v>
      </c>
      <c r="C142" s="4266" t="s">
        <v>6683</v>
      </c>
      <c r="D142" s="4266"/>
      <c r="E142" s="4266"/>
      <c r="F142" s="4266"/>
      <c r="G142" s="4266"/>
      <c r="H142" s="4266"/>
      <c r="I142" s="4521"/>
      <c r="J142" s="4509" t="s">
        <v>6968</v>
      </c>
      <c r="K142" s="4510"/>
      <c r="L142" s="4511"/>
      <c r="M142" s="2454">
        <v>2</v>
      </c>
      <c r="N142" s="493" t="s">
        <v>2333</v>
      </c>
      <c r="O142" s="4483">
        <v>2</v>
      </c>
      <c r="P142" s="4298"/>
      <c r="Q142" s="1004"/>
      <c r="R142" s="1001"/>
    </row>
    <row r="143" spans="1:21" s="43" customFormat="1" ht="36.75" customHeight="1">
      <c r="C143" s="4266"/>
      <c r="D143" s="4266"/>
      <c r="E143" s="4266"/>
      <c r="F143" s="4266"/>
      <c r="G143" s="4266"/>
      <c r="H143" s="4266"/>
      <c r="I143" s="4521"/>
      <c r="J143" s="4518"/>
      <c r="K143" s="4519"/>
      <c r="L143" s="4520"/>
      <c r="O143" s="4484"/>
      <c r="P143" s="4299"/>
    </row>
    <row r="144" spans="1:21" s="43" customFormat="1" ht="12.6"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36.75" customHeight="1" thickTop="1" thickBot="1">
      <c r="A146" s="4242" t="s">
        <v>7004</v>
      </c>
      <c r="B146" s="4243"/>
      <c r="C146" s="4243"/>
      <c r="D146" s="4243"/>
      <c r="E146" s="4243"/>
      <c r="F146" s="4243"/>
      <c r="G146" s="4243"/>
      <c r="H146" s="4243"/>
      <c r="I146" s="4243"/>
      <c r="J146" s="4243"/>
      <c r="K146" s="4243"/>
      <c r="L146" s="4243"/>
      <c r="M146" s="4243"/>
      <c r="N146" s="4243"/>
      <c r="O146" s="4243"/>
      <c r="P146" s="4244"/>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6153</v>
      </c>
      <c r="C151" s="1206"/>
      <c r="D151" s="1206"/>
      <c r="E151" s="1206"/>
      <c r="G151" s="2114" t="s">
        <v>3824</v>
      </c>
      <c r="H151" s="2115" t="str">
        <f>'Part VII-Threshold Criteria'!$J$35</f>
        <v>HFOP</v>
      </c>
      <c r="M151" s="872">
        <v>3</v>
      </c>
      <c r="N151" s="74"/>
      <c r="O151" s="2102">
        <v>2</v>
      </c>
      <c r="P151" s="2103"/>
      <c r="Q151" s="1532" t="str">
        <f>IF(OR($O151&lt;=$M151,$O151=0,$O151=""),"","*CHECK!*")</f>
        <v/>
      </c>
      <c r="R151" s="2105" t="s">
        <v>416</v>
      </c>
      <c r="S151" s="1001" t="s">
        <v>4062</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506" t="s">
        <v>6633</v>
      </c>
      <c r="K153" s="4507"/>
      <c r="L153" s="4507"/>
      <c r="M153" s="4508"/>
    </row>
    <row r="154" spans="1:19" customFormat="1" ht="12.75" customHeight="1">
      <c r="B154" s="2139"/>
      <c r="C154" s="2139"/>
      <c r="D154" s="2139"/>
      <c r="F154" s="4495" t="s">
        <v>6634</v>
      </c>
      <c r="G154" s="4495"/>
      <c r="H154" s="4495" t="s">
        <v>6275</v>
      </c>
      <c r="I154" s="4495"/>
      <c r="J154" s="4497" t="s">
        <v>6635</v>
      </c>
      <c r="K154" s="4498"/>
      <c r="L154" s="4495" t="s">
        <v>6636</v>
      </c>
      <c r="M154" s="4500"/>
      <c r="N154" s="1641"/>
      <c r="O154" s="2487"/>
      <c r="P154" s="2488"/>
    </row>
    <row r="155" spans="1:19" customFormat="1" ht="30.75" customHeight="1">
      <c r="B155" s="2139"/>
      <c r="C155" s="2139"/>
      <c r="D155" s="2139"/>
      <c r="F155" s="4495"/>
      <c r="G155" s="4495"/>
      <c r="H155" s="4495"/>
      <c r="I155" s="4495"/>
      <c r="J155" s="4499"/>
      <c r="K155" s="4498"/>
      <c r="L155" s="4498"/>
      <c r="M155" s="4500"/>
      <c r="N155" s="1641"/>
      <c r="O155" s="2489"/>
      <c r="P155" s="2488"/>
    </row>
    <row r="156" spans="1:19" customFormat="1" ht="12" customHeight="1">
      <c r="B156" s="2325" t="s">
        <v>6637</v>
      </c>
      <c r="C156" s="2141"/>
      <c r="D156" s="2138"/>
      <c r="F156" s="4496"/>
      <c r="G156" s="4496"/>
      <c r="H156" s="4496"/>
      <c r="I156" s="4496"/>
      <c r="J156" s="4499"/>
      <c r="K156" s="4498"/>
      <c r="L156" s="4498"/>
      <c r="M156" s="4500"/>
      <c r="N156" s="1641"/>
      <c r="O156" s="2489"/>
      <c r="P156" s="2488"/>
    </row>
    <row r="157" spans="1:19" customFormat="1">
      <c r="B157" s="4501" t="s">
        <v>6923</v>
      </c>
      <c r="C157" s="4502"/>
      <c r="D157" s="4502"/>
      <c r="E157" s="4503"/>
      <c r="F157" s="4501" t="s">
        <v>2654</v>
      </c>
      <c r="G157" s="4503"/>
      <c r="H157" s="4501" t="s">
        <v>2654</v>
      </c>
      <c r="I157" s="4503"/>
      <c r="J157" s="4504" t="s">
        <v>2651</v>
      </c>
      <c r="K157" s="4505"/>
      <c r="L157" s="4504" t="s">
        <v>2651</v>
      </c>
      <c r="M157" s="4505"/>
      <c r="N157" s="4543"/>
      <c r="O157" s="4544"/>
      <c r="P157" s="2490"/>
    </row>
    <row r="158" spans="1:19" customFormat="1">
      <c r="B158" s="4327" t="s">
        <v>6924</v>
      </c>
      <c r="C158" s="4328"/>
      <c r="D158" s="4328"/>
      <c r="E158" s="4329"/>
      <c r="F158" s="4327" t="s">
        <v>2654</v>
      </c>
      <c r="G158" s="4329"/>
      <c r="H158" s="4327" t="s">
        <v>2654</v>
      </c>
      <c r="I158" s="4329"/>
      <c r="J158" s="4487" t="s">
        <v>2651</v>
      </c>
      <c r="K158" s="4488"/>
      <c r="L158" s="4487" t="s">
        <v>2651</v>
      </c>
      <c r="M158" s="4488"/>
      <c r="N158" s="4362"/>
      <c r="O158" s="4363"/>
      <c r="P158" s="2490"/>
    </row>
    <row r="159" spans="1:19" customFormat="1">
      <c r="B159" s="4327" t="s">
        <v>6925</v>
      </c>
      <c r="C159" s="4328"/>
      <c r="D159" s="4328"/>
      <c r="E159" s="4329"/>
      <c r="F159" s="4327" t="s">
        <v>2654</v>
      </c>
      <c r="G159" s="4329"/>
      <c r="H159" s="4327" t="s">
        <v>2654</v>
      </c>
      <c r="I159" s="4329"/>
      <c r="J159" s="4487" t="s">
        <v>2651</v>
      </c>
      <c r="K159" s="4488"/>
      <c r="L159" s="4487" t="s">
        <v>2651</v>
      </c>
      <c r="M159" s="4488"/>
      <c r="N159" s="4362"/>
      <c r="O159" s="4363"/>
      <c r="P159" s="2490"/>
    </row>
    <row r="160" spans="1:19" customFormat="1">
      <c r="B160" s="4327"/>
      <c r="C160" s="4328"/>
      <c r="D160" s="4328"/>
      <c r="E160" s="4329"/>
      <c r="F160" s="4327"/>
      <c r="G160" s="4329"/>
      <c r="H160" s="4327"/>
      <c r="I160" s="4329"/>
      <c r="J160" s="4487"/>
      <c r="K160" s="4488"/>
      <c r="L160" s="4487"/>
      <c r="M160" s="4488"/>
      <c r="N160" s="4362"/>
      <c r="O160" s="4363"/>
      <c r="P160" s="2490"/>
    </row>
    <row r="161" spans="1:26" customFormat="1">
      <c r="B161" s="4327"/>
      <c r="C161" s="4328"/>
      <c r="D161" s="4328"/>
      <c r="E161" s="4329"/>
      <c r="F161" s="4327"/>
      <c r="G161" s="4329"/>
      <c r="H161" s="4327"/>
      <c r="I161" s="4329"/>
      <c r="J161" s="4487"/>
      <c r="K161" s="4488"/>
      <c r="L161" s="4487"/>
      <c r="M161" s="4488"/>
      <c r="N161" s="4362"/>
      <c r="O161" s="4363"/>
      <c r="P161" s="2490"/>
    </row>
    <row r="162" spans="1:26" customFormat="1">
      <c r="B162" s="4536"/>
      <c r="C162" s="4537"/>
      <c r="D162" s="4537"/>
      <c r="E162" s="4538"/>
      <c r="F162" s="4536"/>
      <c r="G162" s="4538"/>
      <c r="H162" s="4536"/>
      <c r="I162" s="4538"/>
      <c r="J162" s="4539"/>
      <c r="K162" s="4540"/>
      <c r="L162" s="4539"/>
      <c r="M162" s="4540"/>
      <c r="N162" s="4541"/>
      <c r="O162" s="4542"/>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50.25" customHeight="1" thickTop="1" thickBot="1">
      <c r="A164" s="4242" t="s">
        <v>7018</v>
      </c>
      <c r="B164" s="4243"/>
      <c r="C164" s="4243"/>
      <c r="D164" s="4243"/>
      <c r="E164" s="4243"/>
      <c r="F164" s="4243"/>
      <c r="G164" s="4243"/>
      <c r="H164" s="4243"/>
      <c r="I164" s="4243"/>
      <c r="J164" s="4243"/>
      <c r="K164" s="4243"/>
      <c r="L164" s="4243"/>
      <c r="M164" s="4243"/>
      <c r="N164" s="4243"/>
      <c r="O164" s="4243"/>
      <c r="P164" s="4244"/>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6182</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1845</v>
      </c>
      <c r="C171" s="2140" t="s">
        <v>6274</v>
      </c>
      <c r="D171" s="177"/>
      <c r="E171" s="177"/>
      <c r="F171" s="177"/>
      <c r="G171" s="177"/>
      <c r="H171" s="177"/>
      <c r="I171" s="177"/>
      <c r="J171" s="177"/>
      <c r="K171" s="177"/>
      <c r="L171" s="177"/>
      <c r="M171" s="1019">
        <v>2</v>
      </c>
      <c r="N171" s="1012" t="s">
        <v>1615</v>
      </c>
      <c r="O171" s="2040">
        <v>2</v>
      </c>
      <c r="P171" s="2159"/>
      <c r="Q171" s="1532" t="str">
        <f>IF(OR($O171=$M171,$O171=0,$O171=""),"","*CHECK!*")</f>
        <v/>
      </c>
      <c r="R171" s="1001" t="s">
        <v>4062</v>
      </c>
      <c r="S171" s="2128"/>
      <c r="T171" s="2128"/>
      <c r="U171" s="2128"/>
    </row>
    <row r="172" spans="1:26" s="417" customFormat="1" ht="12" customHeight="1">
      <c r="B172" s="1012" t="s">
        <v>2241</v>
      </c>
      <c r="C172" s="4263" t="s">
        <v>6688</v>
      </c>
      <c r="D172" s="4263"/>
      <c r="E172" s="4263"/>
      <c r="F172" s="4263"/>
      <c r="G172" s="4263"/>
      <c r="H172" s="4263"/>
      <c r="I172" s="4263"/>
      <c r="J172" s="4263"/>
      <c r="K172" s="4263"/>
      <c r="L172" s="1012"/>
      <c r="M172" s="4477" t="s">
        <v>6093</v>
      </c>
      <c r="N172" s="4477"/>
      <c r="O172" s="4477"/>
      <c r="P172" s="4477"/>
      <c r="S172" s="2128"/>
      <c r="T172" s="2128"/>
      <c r="U172" s="2128"/>
      <c r="V172" s="1687"/>
      <c r="W172" s="1687"/>
      <c r="X172" s="1687"/>
      <c r="Y172" s="1687"/>
      <c r="Z172" s="1687"/>
    </row>
    <row r="173" spans="1:26" s="43" customFormat="1" ht="12.75" customHeight="1">
      <c r="A173" s="398"/>
      <c r="B173" s="400"/>
      <c r="C173" s="4263"/>
      <c r="D173" s="4263"/>
      <c r="E173" s="4263"/>
      <c r="F173" s="4263"/>
      <c r="G173" s="4263"/>
      <c r="H173" s="4263"/>
      <c r="I173" s="4263"/>
      <c r="J173" s="4263"/>
      <c r="K173" s="4263"/>
      <c r="L173" s="1012" t="s">
        <v>2241</v>
      </c>
      <c r="M173" s="4469">
        <v>11</v>
      </c>
      <c r="N173" s="4470"/>
      <c r="O173" s="4470"/>
      <c r="P173" s="4471"/>
      <c r="S173" s="2128"/>
      <c r="T173" s="2128"/>
      <c r="U173" s="2128"/>
    </row>
    <row r="174" spans="1:26" s="33" customFormat="1" ht="12.75" customHeight="1">
      <c r="B174" s="400" t="s">
        <v>2242</v>
      </c>
      <c r="C174" s="135" t="s">
        <v>3960</v>
      </c>
      <c r="D174" s="504"/>
      <c r="E174" s="504"/>
      <c r="F174" s="504"/>
      <c r="G174" s="504"/>
      <c r="H174" s="504"/>
      <c r="L174" s="400" t="s">
        <v>2242</v>
      </c>
      <c r="M174" s="4359" t="s">
        <v>6961</v>
      </c>
      <c r="N174" s="4360"/>
      <c r="O174" s="4360"/>
      <c r="P174" s="4361"/>
      <c r="S174" s="2128"/>
      <c r="T174" s="2128"/>
      <c r="U174" s="2128"/>
      <c r="V174" s="586"/>
      <c r="W174" s="586"/>
      <c r="X174" s="586"/>
      <c r="Y174" s="586"/>
      <c r="Z174" s="586"/>
    </row>
    <row r="175" spans="1:26" s="33" customFormat="1" ht="12.75" customHeight="1">
      <c r="B175" s="400" t="s">
        <v>2243</v>
      </c>
      <c r="C175" s="504" t="s">
        <v>6180</v>
      </c>
      <c r="D175" s="504"/>
      <c r="E175" s="504"/>
      <c r="F175" s="504"/>
      <c r="G175" s="504"/>
      <c r="H175" s="504"/>
      <c r="L175" s="400" t="s">
        <v>2243</v>
      </c>
      <c r="M175" s="4359" t="s">
        <v>6962</v>
      </c>
      <c r="N175" s="4360"/>
      <c r="O175" s="4360"/>
      <c r="P175" s="436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6181</v>
      </c>
      <c r="D176" s="504"/>
      <c r="E176" s="504"/>
      <c r="F176" s="504"/>
      <c r="G176" s="504"/>
      <c r="L176" s="400" t="s">
        <v>2244</v>
      </c>
      <c r="M176" s="4423" t="s">
        <v>6963</v>
      </c>
      <c r="N176" s="4424"/>
      <c r="O176" s="4424"/>
      <c r="P176" s="442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6257</v>
      </c>
      <c r="D178" s="1780"/>
      <c r="E178" s="1780"/>
      <c r="F178" s="1780"/>
      <c r="G178" s="1780"/>
      <c r="H178" s="1780"/>
      <c r="I178" s="1780"/>
      <c r="K178" s="1194"/>
      <c r="L178" s="1194"/>
      <c r="R178" s="2128"/>
      <c r="S178" s="2128"/>
      <c r="T178" s="2128"/>
      <c r="U178" s="2128"/>
    </row>
    <row r="179" spans="1:21">
      <c r="A179" s="521"/>
      <c r="B179" s="1012" t="s">
        <v>2241</v>
      </c>
      <c r="C179" s="4358" t="s">
        <v>6184</v>
      </c>
      <c r="D179" s="4358"/>
      <c r="E179" s="4358"/>
      <c r="F179" s="4358"/>
      <c r="G179" s="4358"/>
      <c r="H179" s="4358"/>
      <c r="I179" s="4358"/>
      <c r="J179" s="4358"/>
      <c r="K179" s="4358"/>
      <c r="L179" s="4358"/>
      <c r="M179" s="2453">
        <v>1</v>
      </c>
      <c r="N179" s="1012" t="s">
        <v>4080</v>
      </c>
      <c r="O179" s="2144">
        <v>1</v>
      </c>
      <c r="P179" s="2160"/>
      <c r="Q179" s="1532" t="str">
        <f>IF(OR($O179=$M179,$O179=0,$O179=""),"","*CHECK!*")</f>
        <v/>
      </c>
      <c r="R179" s="1001" t="s">
        <v>4062</v>
      </c>
    </row>
    <row r="180" spans="1:21" ht="36.75" customHeight="1">
      <c r="A180" s="521"/>
      <c r="B180" s="413" t="s">
        <v>2242</v>
      </c>
      <c r="C180" s="4358" t="s">
        <v>6185</v>
      </c>
      <c r="D180" s="4358"/>
      <c r="E180" s="4358"/>
      <c r="F180" s="4358"/>
      <c r="G180" s="4358"/>
      <c r="H180" s="4358"/>
      <c r="I180" s="4358"/>
      <c r="J180" s="4358"/>
      <c r="K180" s="4358"/>
      <c r="L180" s="4358"/>
      <c r="M180" s="2453">
        <v>1</v>
      </c>
      <c r="N180" s="1012" t="s">
        <v>6266</v>
      </c>
      <c r="O180" s="2182">
        <v>1</v>
      </c>
      <c r="P180" s="2183"/>
      <c r="Q180" s="1532" t="str">
        <f>IF(OR($O180=$M180,$O180=0,$O180=""),"","*CHECK!*")</f>
        <v/>
      </c>
      <c r="R180" s="1001" t="s">
        <v>4062</v>
      </c>
    </row>
    <row r="181" spans="1:21" ht="12" customHeight="1">
      <c r="A181" s="521"/>
      <c r="B181" s="2090" t="s">
        <v>2243</v>
      </c>
      <c r="C181" s="2438" t="s">
        <v>6268</v>
      </c>
      <c r="D181" s="1011"/>
      <c r="E181" s="1011"/>
      <c r="F181" s="1011"/>
      <c r="G181" s="1011"/>
      <c r="H181" s="1011"/>
      <c r="I181" s="1011"/>
      <c r="J181" s="1011"/>
      <c r="K181" s="1011"/>
      <c r="L181" s="1011"/>
      <c r="M181" s="1127">
        <v>1</v>
      </c>
      <c r="N181" s="412" t="s">
        <v>6267</v>
      </c>
      <c r="O181" s="2145">
        <v>1</v>
      </c>
      <c r="P181" s="2161"/>
      <c r="Q181" s="1532" t="str">
        <f>IF(OR($O181=$M181,$O181=0,$O181=""),"","*CHECK!*")</f>
        <v/>
      </c>
      <c r="R181" s="1001" t="s">
        <v>4062</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3825</v>
      </c>
      <c r="D183" s="33"/>
      <c r="F183" s="1507"/>
      <c r="K183" s="1172"/>
      <c r="L183" s="401" t="str">
        <f>IF(OR($O183=$M183,$O183=0,$O183=1,$O183=""),"","* * Check Score! * *")</f>
        <v/>
      </c>
      <c r="M183" s="1019">
        <v>2</v>
      </c>
      <c r="N183" s="64" t="s">
        <v>1844</v>
      </c>
      <c r="O183" s="599">
        <v>2</v>
      </c>
      <c r="P183" s="847"/>
      <c r="Q183" s="1004" t="str">
        <f>IF(OR($O183=$M183,$O183=0,$O183=""),"","*CHECK!*")</f>
        <v/>
      </c>
      <c r="R183" s="1001" t="s">
        <v>4062</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21.75" customHeight="1" thickTop="1" thickBot="1">
      <c r="A185" s="4242" t="s">
        <v>6964</v>
      </c>
      <c r="B185" s="4243"/>
      <c r="C185" s="4243"/>
      <c r="D185" s="4243"/>
      <c r="E185" s="4243"/>
      <c r="F185" s="4243"/>
      <c r="G185" s="4243"/>
      <c r="H185" s="4243"/>
      <c r="I185" s="4243"/>
      <c r="J185" s="4243"/>
      <c r="K185" s="4243"/>
      <c r="L185" s="4243"/>
      <c r="M185" s="4243"/>
      <c r="N185" s="4243"/>
      <c r="O185" s="4243"/>
      <c r="P185" s="4244"/>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3675</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2651</v>
      </c>
      <c r="P190" s="1382"/>
      <c r="Q190" s="110"/>
      <c r="R190" s="2129"/>
      <c r="S190" s="2129"/>
      <c r="T190" s="2129"/>
      <c r="U190" s="2129"/>
    </row>
    <row r="191" spans="1:21" s="43" customFormat="1" ht="13.5" customHeight="1">
      <c r="A191" s="154"/>
      <c r="B191" s="2146" t="s">
        <v>6258</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6216</v>
      </c>
      <c r="D192" s="33"/>
      <c r="G192" s="488"/>
      <c r="N192" s="27"/>
      <c r="O192" s="527"/>
      <c r="P192" s="527"/>
      <c r="Q192" s="1009"/>
    </row>
    <row r="193" spans="1:24" s="1684" customFormat="1" ht="12.75" customHeight="1">
      <c r="B193" s="462" t="s">
        <v>1845</v>
      </c>
      <c r="C193" s="4263" t="s">
        <v>6213</v>
      </c>
      <c r="D193" s="4263"/>
      <c r="E193" s="4263"/>
      <c r="F193" s="4263"/>
      <c r="G193" s="4263"/>
      <c r="H193" s="4263"/>
      <c r="I193" s="4263"/>
      <c r="J193" s="4263"/>
      <c r="K193" s="4263"/>
      <c r="L193" s="4263"/>
      <c r="M193" s="1125" t="s">
        <v>698</v>
      </c>
      <c r="N193" s="415" t="s">
        <v>1845</v>
      </c>
      <c r="O193" s="1158" t="s">
        <v>2651</v>
      </c>
      <c r="P193" s="1157"/>
      <c r="Q193" s="1214"/>
      <c r="V193" s="2070"/>
      <c r="W193" s="2070"/>
    </row>
    <row r="194" spans="1:24" s="33" customFormat="1" ht="12.75" customHeight="1">
      <c r="A194" s="521"/>
      <c r="B194" s="462" t="s">
        <v>1847</v>
      </c>
      <c r="C194" s="458" t="s">
        <v>6214</v>
      </c>
      <c r="D194" s="961"/>
      <c r="E194" s="961"/>
      <c r="F194" s="961"/>
      <c r="G194" s="961"/>
      <c r="H194" s="961"/>
      <c r="I194" s="961"/>
      <c r="J194" s="961"/>
      <c r="K194" s="961"/>
      <c r="L194" s="961"/>
      <c r="M194" s="961"/>
      <c r="N194" s="415" t="s">
        <v>1847</v>
      </c>
      <c r="O194" s="389" t="s">
        <v>2651</v>
      </c>
      <c r="P194" s="550"/>
      <c r="Q194" s="1010"/>
      <c r="V194" s="1209"/>
      <c r="W194" s="1209"/>
    </row>
    <row r="195" spans="1:24" s="33" customFormat="1" ht="22.5" customHeight="1">
      <c r="A195" s="521"/>
      <c r="B195" s="462" t="s">
        <v>2333</v>
      </c>
      <c r="C195" s="4358" t="s">
        <v>6217</v>
      </c>
      <c r="D195" s="4358"/>
      <c r="E195" s="4358"/>
      <c r="F195" s="4358"/>
      <c r="G195" s="4358"/>
      <c r="H195" s="4358"/>
      <c r="I195" s="4358"/>
      <c r="J195" s="4358"/>
      <c r="K195" s="4358"/>
      <c r="L195" s="4358"/>
      <c r="M195" s="1008"/>
      <c r="N195" s="415" t="s">
        <v>2333</v>
      </c>
      <c r="O195" s="2127" t="s">
        <v>2651</v>
      </c>
      <c r="P195" s="2126"/>
      <c r="Q195" s="1010"/>
      <c r="V195" s="1209"/>
      <c r="W195" s="1209"/>
    </row>
    <row r="196" spans="1:24" ht="11.45" customHeight="1">
      <c r="A196" s="139" t="s">
        <v>1963</v>
      </c>
      <c r="B196" s="190" t="s">
        <v>6215</v>
      </c>
      <c r="D196" s="33"/>
      <c r="G196" s="488"/>
      <c r="N196" s="27"/>
      <c r="O196" s="527"/>
      <c r="P196" s="527"/>
      <c r="Q196" s="1009"/>
    </row>
    <row r="197" spans="1:24" s="1684" customFormat="1" ht="23.25" customHeight="1">
      <c r="B197" s="462" t="s">
        <v>1845</v>
      </c>
      <c r="C197" s="4263" t="s">
        <v>6218</v>
      </c>
      <c r="D197" s="4263"/>
      <c r="E197" s="4263"/>
      <c r="F197" s="4263"/>
      <c r="G197" s="4263"/>
      <c r="H197" s="4263"/>
      <c r="I197" s="4263"/>
      <c r="J197" s="4263"/>
      <c r="K197" s="4263"/>
      <c r="L197" s="4263"/>
      <c r="M197" s="1125" t="s">
        <v>1963</v>
      </c>
      <c r="N197" s="415" t="s">
        <v>1845</v>
      </c>
      <c r="O197" s="1158" t="s">
        <v>2651</v>
      </c>
      <c r="P197" s="1157"/>
      <c r="Q197" s="1214"/>
      <c r="V197" s="2070"/>
      <c r="W197" s="2070"/>
    </row>
    <row r="198" spans="1:24" s="33" customFormat="1" ht="23.25" customHeight="1">
      <c r="A198" s="521"/>
      <c r="B198" s="462" t="s">
        <v>1847</v>
      </c>
      <c r="C198" s="4358" t="s">
        <v>6259</v>
      </c>
      <c r="D198" s="4358"/>
      <c r="E198" s="4358"/>
      <c r="F198" s="4358"/>
      <c r="G198" s="4358"/>
      <c r="H198" s="4358"/>
      <c r="I198" s="4358"/>
      <c r="J198" s="4358"/>
      <c r="K198" s="4358"/>
      <c r="L198" s="4358"/>
      <c r="M198" s="961"/>
      <c r="N198" s="415" t="s">
        <v>1847</v>
      </c>
      <c r="O198" s="1937" t="s">
        <v>2651</v>
      </c>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93.75" customHeight="1" thickTop="1" thickBot="1">
      <c r="A200" s="4402" t="s">
        <v>7027</v>
      </c>
      <c r="B200" s="4403"/>
      <c r="C200" s="4403"/>
      <c r="D200" s="4403"/>
      <c r="E200" s="4403"/>
      <c r="F200" s="4403"/>
      <c r="G200" s="4403"/>
      <c r="H200" s="4403"/>
      <c r="I200" s="4403"/>
      <c r="J200" s="4403"/>
      <c r="K200" s="4403"/>
      <c r="L200" s="4403"/>
      <c r="M200" s="4403"/>
      <c r="N200" s="4403"/>
      <c r="O200" s="4403"/>
      <c r="P200" s="4404"/>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3"/>
      <c r="B202" s="4304"/>
      <c r="C202" s="4304"/>
      <c r="D202" s="4304"/>
      <c r="E202" s="4304"/>
      <c r="F202" s="4304"/>
      <c r="G202" s="4304"/>
      <c r="H202" s="4304"/>
      <c r="I202" s="4304"/>
      <c r="J202" s="4304"/>
      <c r="K202" s="4304"/>
      <c r="L202" s="4304"/>
      <c r="M202" s="4304"/>
      <c r="N202" s="4304"/>
      <c r="O202" s="4304"/>
      <c r="P202" s="4305"/>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3826</v>
      </c>
      <c r="C206" s="92"/>
      <c r="D206" s="59"/>
      <c r="E206" s="59"/>
      <c r="K206" s="1682"/>
      <c r="M206" s="1127">
        <v>5</v>
      </c>
      <c r="N206" s="412" t="s">
        <v>1842</v>
      </c>
      <c r="O206" s="599"/>
      <c r="P206" s="847"/>
      <c r="Q206" s="1532" t="str">
        <f>IF(O206&lt;=M206,"","*CHECK!*")</f>
        <v/>
      </c>
      <c r="R206" s="1001" t="s">
        <v>4062</v>
      </c>
      <c r="S206" s="2130"/>
      <c r="T206" s="2130"/>
      <c r="U206" s="2130"/>
    </row>
    <row r="207" spans="1:24" customFormat="1" ht="12.75" customHeight="1">
      <c r="B207" s="2147"/>
      <c r="C207" s="2140" t="s">
        <v>6260</v>
      </c>
      <c r="D207" s="2148"/>
      <c r="E207" s="2149"/>
      <c r="F207" s="2149"/>
      <c r="G207" s="2148"/>
      <c r="H207" s="2148"/>
      <c r="I207" s="2148"/>
      <c r="J207" s="4448" t="s">
        <v>3207</v>
      </c>
      <c r="K207" s="4449"/>
      <c r="L207" s="4450"/>
      <c r="M207" s="4451"/>
      <c r="N207" s="2150"/>
      <c r="O207" s="1202"/>
      <c r="P207" s="2121"/>
      <c r="Q207" s="27"/>
      <c r="R207" s="2151"/>
      <c r="S207" s="2148"/>
    </row>
    <row r="208" spans="1:24" customFormat="1" ht="12.75" customHeight="1">
      <c r="C208" s="2152" t="s">
        <v>6261</v>
      </c>
      <c r="D208" s="1641"/>
      <c r="J208" s="4420"/>
      <c r="K208" s="4421"/>
      <c r="L208" s="4421"/>
      <c r="M208" s="4422"/>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6219</v>
      </c>
      <c r="C210" s="52"/>
      <c r="E210" s="596"/>
      <c r="K210" s="412"/>
      <c r="L210" s="412"/>
      <c r="M210" s="1127">
        <v>5</v>
      </c>
      <c r="N210" s="412" t="s">
        <v>1844</v>
      </c>
      <c r="O210" s="599"/>
      <c r="P210" s="847"/>
      <c r="Q210" s="1532" t="str">
        <f>IF(O210&lt;=M210,"","*CHECK!*")</f>
        <v/>
      </c>
      <c r="R210" s="1001" t="s">
        <v>4062</v>
      </c>
      <c r="S210" s="2130"/>
      <c r="T210" s="2130"/>
      <c r="U210" s="2130"/>
    </row>
    <row r="211" spans="1:37" customFormat="1">
      <c r="C211" s="2154" t="s">
        <v>6225</v>
      </c>
      <c r="D211" s="27"/>
      <c r="E211" s="4245" t="s">
        <v>6224</v>
      </c>
      <c r="F211" s="4245"/>
      <c r="G211" s="4245"/>
      <c r="H211" s="4245"/>
      <c r="I211" s="2085" t="s">
        <v>6251</v>
      </c>
      <c r="J211" s="4245" t="s">
        <v>6224</v>
      </c>
      <c r="K211" s="4245"/>
      <c r="L211" s="4245"/>
      <c r="M211" s="4245"/>
      <c r="R211" s="27"/>
      <c r="S211" s="27"/>
      <c r="T211" s="27"/>
      <c r="U211" s="27"/>
      <c r="V211" s="27"/>
      <c r="W211" s="27"/>
      <c r="X211" s="27"/>
      <c r="Y211" s="27"/>
      <c r="AH211" s="27"/>
      <c r="AI211" s="27"/>
      <c r="AJ211" s="27"/>
      <c r="AK211" s="27"/>
    </row>
    <row r="212" spans="1:37" customFormat="1" ht="13.5" customHeight="1">
      <c r="B212" s="2155"/>
      <c r="C212" s="2140" t="s">
        <v>6222</v>
      </c>
      <c r="D212" s="27"/>
      <c r="E212" s="4246"/>
      <c r="F212" s="4247"/>
      <c r="G212" s="4247"/>
      <c r="H212" s="4248"/>
      <c r="I212" s="2491" t="s">
        <v>907</v>
      </c>
      <c r="J212" s="4417"/>
      <c r="K212" s="4418"/>
      <c r="L212" s="4418"/>
      <c r="M212" s="4419"/>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6223</v>
      </c>
      <c r="D213" s="27"/>
      <c r="E213" s="4364"/>
      <c r="F213" s="4365"/>
      <c r="G213" s="4365"/>
      <c r="H213" s="4366"/>
      <c r="I213" s="2578"/>
      <c r="J213" s="4239"/>
      <c r="K213" s="4240"/>
      <c r="L213" s="4240"/>
      <c r="M213" s="4241"/>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6220</v>
      </c>
      <c r="D214" s="27"/>
      <c r="E214" s="4364"/>
      <c r="F214" s="4365"/>
      <c r="G214" s="4365"/>
      <c r="H214" s="4366"/>
      <c r="I214" s="2578"/>
      <c r="J214" s="4239"/>
      <c r="K214" s="4240"/>
      <c r="L214" s="4240"/>
      <c r="M214" s="4241"/>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6221</v>
      </c>
      <c r="D215" s="27"/>
      <c r="E215" s="4408"/>
      <c r="F215" s="4409"/>
      <c r="G215" s="4409"/>
      <c r="H215" s="4410"/>
      <c r="I215" s="2579"/>
      <c r="J215" s="4414"/>
      <c r="K215" s="4415"/>
      <c r="L215" s="4415"/>
      <c r="M215" s="4416"/>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 customHeight="1" thickTop="1" thickBot="1">
      <c r="A219" s="4242" t="s">
        <v>6916</v>
      </c>
      <c r="B219" s="4243"/>
      <c r="C219" s="4243"/>
      <c r="D219" s="4243"/>
      <c r="E219" s="4243"/>
      <c r="F219" s="4243"/>
      <c r="G219" s="4243"/>
      <c r="H219" s="4243"/>
      <c r="I219" s="4243"/>
      <c r="J219" s="4243"/>
      <c r="K219" s="4243"/>
      <c r="L219" s="4243"/>
      <c r="M219" s="4243"/>
      <c r="N219" s="4243"/>
      <c r="O219" s="4243"/>
      <c r="P219" s="4244"/>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3"/>
      <c r="B222" s="4304"/>
      <c r="C222" s="4304"/>
      <c r="D222" s="4304"/>
      <c r="E222" s="4304"/>
      <c r="F222" s="4304"/>
      <c r="G222" s="4304"/>
      <c r="H222" s="4304"/>
      <c r="I222" s="4304"/>
      <c r="J222" s="4304"/>
      <c r="K222" s="4304"/>
      <c r="L222" s="4304"/>
      <c r="M222" s="4304"/>
      <c r="N222" s="4304"/>
      <c r="O222" s="4304"/>
      <c r="P222" s="4305"/>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4038</v>
      </c>
      <c r="C224" s="442"/>
      <c r="E224" s="117"/>
      <c r="G224" s="2113" t="s">
        <v>6254</v>
      </c>
      <c r="H224" s="1980" t="str">
        <f>IF(OR($M$34="9% Credit Competitive Round only", $M$34="9% Credit &amp; HOME"),"9%",IF(OR($M$34="4% Credit/TE Bond", $M$34="4% Credit/TE Bond &amp; HOME", $M$34="4% Credit/TE Bond &amp; HOME NOFA", $M$34="4% Credit &amp; NHTF", $M$34="4% Credit &amp; NHTF &amp; HOME"),"4%",""))</f>
        <v>9%</v>
      </c>
      <c r="J224" s="2112" t="s">
        <v>363</v>
      </c>
      <c r="K224" s="4443" t="str">
        <f>M54</f>
        <v>New Supply</v>
      </c>
      <c r="L224" s="4444"/>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6255</v>
      </c>
      <c r="D225" s="39"/>
      <c r="E225" s="36"/>
      <c r="F225" s="872"/>
      <c r="G225" s="1678" t="s">
        <v>3155</v>
      </c>
      <c r="H225" s="1509">
        <f>IF('Part V-Revenues &amp; Expenses'!$P$67=0,0,'Part V-Revenues &amp; Expenses'!$P$64/'Part V-Revenues &amp; Expenses'!$P$67)</f>
        <v>0</v>
      </c>
      <c r="J225" s="488" t="s">
        <v>3963</v>
      </c>
      <c r="K225" s="4412" t="str">
        <f>'Part V-Revenues &amp; Expenses'!$O$53</f>
        <v>Income Averaging</v>
      </c>
      <c r="L225" s="4413"/>
      <c r="M225" s="60"/>
      <c r="N225" s="872"/>
      <c r="O225" s="2106"/>
      <c r="P225" s="3"/>
    </row>
    <row r="226" spans="1:24" ht="12" customHeight="1">
      <c r="A226" s="1675" t="s">
        <v>1842</v>
      </c>
      <c r="B226" s="1681" t="s">
        <v>3961</v>
      </c>
      <c r="C226" s="442"/>
      <c r="E226" s="305" t="s">
        <v>3962</v>
      </c>
      <c r="M226" s="598">
        <v>1</v>
      </c>
      <c r="N226" s="478" t="s">
        <v>1842</v>
      </c>
      <c r="O226" s="1685"/>
      <c r="P226" s="1686"/>
      <c r="Q226" s="1004" t="str">
        <f>IF(OR($O226=$M226,$O226=0,$O226=""),"","*CHECK!*")</f>
        <v/>
      </c>
      <c r="R226" s="1001" t="s">
        <v>4062</v>
      </c>
    </row>
    <row r="227" spans="1:24" ht="12" customHeight="1">
      <c r="A227" s="1675" t="s">
        <v>1844</v>
      </c>
      <c r="B227" s="1681" t="s">
        <v>3816</v>
      </c>
      <c r="C227" s="442"/>
      <c r="E227" s="305" t="s">
        <v>4043</v>
      </c>
      <c r="M227" s="1123">
        <v>1</v>
      </c>
      <c r="N227" s="478" t="s">
        <v>1844</v>
      </c>
      <c r="O227" s="535">
        <v>1</v>
      </c>
      <c r="P227" s="545"/>
      <c r="Q227" s="1004" t="str">
        <f>IF(OR($O227=$M227,$O227=0,$O227=""),"","*CHECK!*")</f>
        <v/>
      </c>
      <c r="R227" s="1001" t="s">
        <v>4062</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3"/>
      <c r="B230" s="4304"/>
      <c r="C230" s="4304"/>
      <c r="D230" s="4304"/>
      <c r="E230" s="4304"/>
      <c r="F230" s="4304"/>
      <c r="G230" s="4304"/>
      <c r="H230" s="4304"/>
      <c r="I230" s="4304"/>
      <c r="J230" s="4304"/>
      <c r="K230" s="4304"/>
      <c r="L230" s="4304"/>
      <c r="M230" s="4304"/>
      <c r="N230" s="4304"/>
      <c r="O230" s="4304"/>
      <c r="P230" s="4305"/>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6"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6"/>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2" t="s">
        <v>6916</v>
      </c>
      <c r="B237" s="4243"/>
      <c r="C237" s="4243"/>
      <c r="D237" s="4243"/>
      <c r="E237" s="4243"/>
      <c r="F237" s="4243"/>
      <c r="G237" s="4243"/>
      <c r="H237" s="4243"/>
      <c r="I237" s="4243"/>
      <c r="J237" s="4243"/>
      <c r="K237" s="4243"/>
      <c r="L237" s="4243"/>
      <c r="M237" s="4243"/>
      <c r="N237" s="4243"/>
      <c r="O237" s="4243"/>
      <c r="P237" s="4244"/>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3"/>
      <c r="B239" s="4304"/>
      <c r="C239" s="4304"/>
      <c r="D239" s="4304"/>
      <c r="E239" s="4304"/>
      <c r="F239" s="4304"/>
      <c r="G239" s="4304"/>
      <c r="H239" s="4304"/>
      <c r="I239" s="4304"/>
      <c r="J239" s="4304"/>
      <c r="K239" s="4304"/>
      <c r="L239" s="4304"/>
      <c r="M239" s="4304"/>
      <c r="N239" s="4304"/>
      <c r="O239" s="4304"/>
      <c r="P239" s="4305"/>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4040</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4062</v>
      </c>
      <c r="S241" s="1067"/>
      <c r="T241" s="1067"/>
      <c r="U241" s="1067"/>
      <c r="V241" s="1067"/>
      <c r="W241" s="1784"/>
      <c r="X241" s="1784"/>
    </row>
    <row r="242" spans="1:27" s="101" customFormat="1" ht="11.25">
      <c r="A242" s="462"/>
      <c r="B242" s="1007" t="s">
        <v>6262</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6263</v>
      </c>
      <c r="E243" s="458" t="s">
        <v>3311</v>
      </c>
      <c r="G243" s="2164"/>
      <c r="H243" s="412" t="s">
        <v>574</v>
      </c>
      <c r="I243" s="4272"/>
      <c r="J243" s="4272"/>
      <c r="L243" s="2187" t="s">
        <v>6265</v>
      </c>
      <c r="M243" s="4273"/>
      <c r="N243" s="4273"/>
    </row>
    <row r="244" spans="1:27" s="118" customFormat="1" ht="11.25" customHeight="1">
      <c r="A244" s="399"/>
      <c r="B244" s="462" t="s">
        <v>1847</v>
      </c>
      <c r="C244" s="2140" t="s">
        <v>6264</v>
      </c>
      <c r="E244" s="458" t="s">
        <v>3311</v>
      </c>
      <c r="G244" s="2165"/>
      <c r="H244" s="412" t="s">
        <v>574</v>
      </c>
      <c r="I244" s="4407"/>
      <c r="J244" s="4407"/>
      <c r="L244" s="2187" t="s">
        <v>6265</v>
      </c>
      <c r="M244" s="4411"/>
      <c r="N244" s="4411"/>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2" t="s">
        <v>6917</v>
      </c>
      <c r="B247" s="4243"/>
      <c r="C247" s="4243"/>
      <c r="D247" s="4243"/>
      <c r="E247" s="4243"/>
      <c r="F247" s="4243"/>
      <c r="G247" s="4243"/>
      <c r="H247" s="4243"/>
      <c r="I247" s="4243"/>
      <c r="J247" s="4243"/>
      <c r="K247" s="4243"/>
      <c r="L247" s="4243"/>
      <c r="M247" s="4243"/>
      <c r="N247" s="4243"/>
      <c r="O247" s="4243"/>
      <c r="P247" s="4244"/>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3964</v>
      </c>
      <c r="D251" s="41"/>
      <c r="E251" s="55" t="s">
        <v>6271</v>
      </c>
      <c r="G251" s="61"/>
      <c r="L251" s="1482" t="str">
        <f>IF(AND(O251&gt;0,NOT($M$54="New Supply")), "Ineligible to score in this section, not New Supply!","")</f>
        <v/>
      </c>
      <c r="M251" s="1674">
        <v>5</v>
      </c>
      <c r="N251" s="6"/>
      <c r="O251" s="1104">
        <f>MIN($M251,MAX(O252,O253,O254))</f>
        <v>3</v>
      </c>
      <c r="P251" s="1104">
        <f>MIN($M251,MAX(P252,P253,P254))</f>
        <v>0</v>
      </c>
      <c r="Q251" s="110" t="s">
        <v>416</v>
      </c>
      <c r="R251" s="1001" t="s">
        <v>4062</v>
      </c>
      <c r="S251" s="2166"/>
      <c r="T251" s="2166"/>
      <c r="U251" s="2166"/>
      <c r="V251" s="2166"/>
      <c r="W251" s="1784"/>
      <c r="X251" s="1784"/>
    </row>
    <row r="252" spans="1:27" s="33" customFormat="1" ht="11.25" customHeight="1">
      <c r="A252" s="139" t="s">
        <v>1842</v>
      </c>
      <c r="B252" s="190" t="s">
        <v>6270</v>
      </c>
      <c r="D252" s="596"/>
      <c r="M252" s="1019">
        <v>5</v>
      </c>
      <c r="N252" s="478" t="s">
        <v>1842</v>
      </c>
      <c r="O252" s="2167"/>
      <c r="P252" s="1151"/>
      <c r="Q252" s="1004" t="str">
        <f>IF(OR($O252=$M252,$O252=$M252-1,$O252=0,$O252=""),"","*CHECK!*")</f>
        <v/>
      </c>
      <c r="R252" s="1001" t="s">
        <v>4062</v>
      </c>
      <c r="S252" s="2166"/>
      <c r="T252" s="2166"/>
      <c r="U252" s="2166"/>
      <c r="V252" s="2166"/>
    </row>
    <row r="253" spans="1:27" s="33" customFormat="1" ht="11.25" customHeight="1">
      <c r="A253" s="139" t="s">
        <v>1844</v>
      </c>
      <c r="B253" s="190" t="s">
        <v>6272</v>
      </c>
      <c r="D253" s="596"/>
      <c r="M253" s="1019">
        <v>3</v>
      </c>
      <c r="N253" s="478" t="s">
        <v>1844</v>
      </c>
      <c r="O253" s="534">
        <v>3</v>
      </c>
      <c r="P253" s="544"/>
      <c r="Q253" s="1004" t="str">
        <f>IF(OR($O253=$M253,$O253=$M253-1,$O253=0,$O253=""),"","*CHECK!*")</f>
        <v/>
      </c>
      <c r="R253" s="1001" t="s">
        <v>4062</v>
      </c>
    </row>
    <row r="254" spans="1:27">
      <c r="A254" s="139" t="s">
        <v>698</v>
      </c>
      <c r="B254" s="190" t="s">
        <v>6273</v>
      </c>
      <c r="E254" s="40" t="s">
        <v>6235</v>
      </c>
      <c r="I254" s="1683"/>
      <c r="L254" s="2087"/>
      <c r="M254" s="1019">
        <v>3</v>
      </c>
      <c r="N254" s="478" t="s">
        <v>698</v>
      </c>
      <c r="O254" s="535"/>
      <c r="P254" s="545"/>
      <c r="Q254" s="1004" t="str">
        <f>IF(OR($O254=$M254,$O254=$M254-1,$O254=0,$O254=""),"","*CHECK!*")</f>
        <v/>
      </c>
      <c r="R254" s="1001" t="s">
        <v>4062</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242" t="s">
        <v>6965</v>
      </c>
      <c r="B256" s="4243"/>
      <c r="C256" s="4243"/>
      <c r="D256" s="4243"/>
      <c r="E256" s="4243"/>
      <c r="F256" s="4243"/>
      <c r="G256" s="4243"/>
      <c r="H256" s="4243"/>
      <c r="I256" s="4243"/>
      <c r="J256" s="4243"/>
      <c r="K256" s="4243"/>
      <c r="L256" s="4243"/>
      <c r="M256" s="4243"/>
      <c r="N256" s="4243"/>
      <c r="O256" s="4243"/>
      <c r="P256" s="4244"/>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4063</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3956</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6621</v>
      </c>
      <c r="C266" s="4021"/>
      <c r="D266" s="4021"/>
      <c r="E266" s="4021"/>
      <c r="F266" s="4021"/>
      <c r="G266" s="4021"/>
      <c r="H266" s="4021"/>
      <c r="I266" s="4021"/>
      <c r="J266" s="4021"/>
      <c r="K266" s="4021"/>
      <c r="L266" s="4021"/>
      <c r="M266" s="7"/>
      <c r="N266" s="478"/>
      <c r="O266" s="1198"/>
      <c r="P266" s="1199"/>
      <c r="Q266" s="414"/>
      <c r="R266" s="401"/>
      <c r="T266" s="1077"/>
      <c r="U266" s="1077"/>
    </row>
    <row r="267" spans="1:21" s="43" customFormat="1" ht="11.25" customHeight="1">
      <c r="A267" s="139" t="s">
        <v>698</v>
      </c>
      <c r="B267" s="177" t="s">
        <v>3828</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6622</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6236</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6578</v>
      </c>
      <c r="C273" s="92"/>
      <c r="D273" s="59"/>
      <c r="E273" s="59"/>
      <c r="G273" s="2117"/>
      <c r="H273" s="185"/>
      <c r="I273" s="2112" t="s">
        <v>6144</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6579</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6580</v>
      </c>
      <c r="D276" s="634"/>
      <c r="L276" s="1013"/>
      <c r="M276" s="2327">
        <v>2</v>
      </c>
      <c r="N276" s="478" t="s">
        <v>1844</v>
      </c>
      <c r="O276" s="2423"/>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428"/>
      <c r="C278" s="4429"/>
      <c r="D278" s="4429"/>
      <c r="E278" s="4429"/>
      <c r="F278" s="4429"/>
      <c r="G278" s="4429"/>
      <c r="H278" s="4429"/>
      <c r="I278" s="4429"/>
      <c r="J278" s="4429"/>
      <c r="K278" s="4429"/>
      <c r="L278" s="4429"/>
      <c r="M278" s="4429"/>
      <c r="N278" s="4429"/>
      <c r="O278" s="4429"/>
      <c r="P278" s="4430"/>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242" t="s">
        <v>6918</v>
      </c>
      <c r="B280" s="4243"/>
      <c r="C280" s="4243"/>
      <c r="D280" s="4243"/>
      <c r="E280" s="4243"/>
      <c r="F280" s="4243"/>
      <c r="G280" s="4243"/>
      <c r="H280" s="4243"/>
      <c r="I280" s="4243"/>
      <c r="J280" s="4243"/>
      <c r="K280" s="4243"/>
      <c r="L280" s="4243"/>
      <c r="M280" s="4243"/>
      <c r="N280" s="4243"/>
      <c r="O280" s="4243"/>
      <c r="P280" s="4244"/>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3"/>
      <c r="B282" s="4304"/>
      <c r="C282" s="4304"/>
      <c r="D282" s="4304"/>
      <c r="E282" s="4304"/>
      <c r="F282" s="4304"/>
      <c r="G282" s="4304"/>
      <c r="H282" s="4304"/>
      <c r="I282" s="4304"/>
      <c r="J282" s="4304"/>
      <c r="K282" s="4304"/>
      <c r="L282" s="4304"/>
      <c r="M282" s="4304"/>
      <c r="N282" s="4304"/>
      <c r="O282" s="4304"/>
      <c r="P282" s="4305"/>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457" t="s">
        <v>2854</v>
      </c>
      <c r="J286" s="4458"/>
      <c r="K286" s="4459"/>
      <c r="L286" s="4460"/>
      <c r="M286" s="595"/>
      <c r="O286" s="2589"/>
      <c r="P286" s="2590"/>
      <c r="Q286" s="110"/>
      <c r="R286" s="2130"/>
      <c r="S286" s="2130"/>
      <c r="T286" s="2130"/>
      <c r="U286" s="2130"/>
      <c r="V286" s="2130"/>
      <c r="W286" s="43"/>
      <c r="X286" s="43"/>
    </row>
    <row r="287" spans="1:24" s="103" customFormat="1" ht="11.25" customHeight="1">
      <c r="A287" s="154"/>
      <c r="C287" s="36" t="s">
        <v>6699</v>
      </c>
      <c r="G287" s="185"/>
      <c r="I287" s="4461" t="s">
        <v>2854</v>
      </c>
      <c r="J287" s="4462"/>
      <c r="M287" s="595"/>
      <c r="O287" s="2589"/>
      <c r="P287" s="2590"/>
      <c r="Q287" s="110"/>
      <c r="R287" s="2130"/>
      <c r="S287" s="2130"/>
      <c r="T287" s="2130"/>
      <c r="U287" s="2130"/>
      <c r="V287" s="2130"/>
      <c r="W287" s="43"/>
      <c r="X287" s="43"/>
    </row>
    <row r="288" spans="1:24" s="103" customFormat="1" ht="11.25" customHeight="1">
      <c r="A288" s="154"/>
      <c r="C288" s="36" t="s">
        <v>6701</v>
      </c>
      <c r="G288" s="185"/>
      <c r="I288" s="4463" t="s">
        <v>6919</v>
      </c>
      <c r="J288" s="4464"/>
      <c r="K288" s="4465"/>
      <c r="L288" s="4466"/>
      <c r="M288" s="595"/>
      <c r="O288" s="4467" t="s">
        <v>3152</v>
      </c>
      <c r="P288" s="4467" t="s">
        <v>3153</v>
      </c>
      <c r="Q288" s="110"/>
      <c r="R288" s="2130"/>
      <c r="S288" s="2130"/>
      <c r="T288" s="2130"/>
      <c r="U288" s="2130"/>
      <c r="V288" s="2130"/>
      <c r="W288" s="43"/>
      <c r="X288" s="43"/>
    </row>
    <row r="289" spans="1:22" s="43" customFormat="1" ht="11.25" customHeight="1">
      <c r="A289" s="154"/>
      <c r="B289" s="36" t="s">
        <v>6587</v>
      </c>
      <c r="D289" s="41"/>
      <c r="H289" s="177"/>
      <c r="M289" s="2419"/>
      <c r="N289" s="478"/>
      <c r="O289" s="4468"/>
      <c r="P289" s="4468"/>
      <c r="Q289" s="110"/>
      <c r="R289" s="2437"/>
      <c r="S289" s="2437"/>
      <c r="T289" s="2437"/>
      <c r="U289" s="2437"/>
    </row>
    <row r="290" spans="1:22" s="43" customFormat="1" ht="11.25" customHeight="1">
      <c r="A290" s="2588"/>
      <c r="B290" s="1012" t="s">
        <v>2241</v>
      </c>
      <c r="C290" s="36" t="s">
        <v>6586</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6707</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6588</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6584</v>
      </c>
      <c r="D294" s="634"/>
      <c r="E294" s="634"/>
      <c r="G294" s="634" t="s">
        <v>6592</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6593</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6594</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6585</v>
      </c>
      <c r="D297" s="634"/>
      <c r="G297" s="457" t="s">
        <v>6595</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8" t="s">
        <v>6596</v>
      </c>
      <c r="D298" s="3998"/>
      <c r="E298" s="3998"/>
      <c r="F298" s="3998"/>
      <c r="G298" s="3998"/>
      <c r="H298" s="3998"/>
      <c r="I298" s="3998"/>
      <c r="J298" s="3998"/>
      <c r="K298" s="3998"/>
      <c r="L298" s="3998"/>
      <c r="M298" s="3998"/>
      <c r="N298" s="187" t="s">
        <v>1845</v>
      </c>
      <c r="O298" s="2362"/>
      <c r="P298" s="1623"/>
      <c r="Q298" s="2092"/>
      <c r="R298" s="2439"/>
      <c r="S298" s="2439"/>
      <c r="T298" s="2439"/>
      <c r="U298" s="2439"/>
    </row>
    <row r="299" spans="1:22" s="436" customFormat="1" ht="10.5" customHeight="1">
      <c r="A299" s="2091"/>
      <c r="B299" s="462" t="s">
        <v>1847</v>
      </c>
      <c r="C299" s="3998" t="s">
        <v>6597</v>
      </c>
      <c r="D299" s="3998"/>
      <c r="E299" s="3998"/>
      <c r="F299" s="3998"/>
      <c r="G299" s="3998"/>
      <c r="H299" s="3998"/>
      <c r="I299" s="3998"/>
      <c r="J299" s="3998"/>
      <c r="K299" s="3998"/>
      <c r="L299" s="3998"/>
      <c r="M299" s="3998"/>
      <c r="N299" s="2440" t="s">
        <v>1847</v>
      </c>
      <c r="O299" s="2431"/>
      <c r="P299" s="2430"/>
      <c r="Q299" s="2092"/>
      <c r="R299" s="2439"/>
      <c r="S299" s="2439"/>
      <c r="T299" s="2439"/>
      <c r="U299" s="2439"/>
    </row>
    <row r="300" spans="1:22" s="436" customFormat="1" ht="10.5" customHeight="1">
      <c r="A300" s="2091"/>
      <c r="B300" s="462" t="s">
        <v>2333</v>
      </c>
      <c r="C300" s="876" t="s">
        <v>6703</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6598</v>
      </c>
      <c r="D301" s="1120"/>
      <c r="E301" s="103"/>
      <c r="F301" s="103"/>
      <c r="G301" s="103"/>
      <c r="H301" s="45"/>
      <c r="I301" s="49"/>
      <c r="M301" s="2426"/>
      <c r="N301" s="1012" t="s">
        <v>2241</v>
      </c>
      <c r="O301" s="230"/>
      <c r="P301" s="549"/>
      <c r="Q301" s="110"/>
      <c r="R301" s="2437"/>
      <c r="S301" s="2437"/>
      <c r="T301" s="2437"/>
      <c r="U301" s="2437"/>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2"/>
      <c r="P302" s="550"/>
      <c r="Q302" s="110"/>
      <c r="R302" s="2437"/>
      <c r="S302" s="2437"/>
      <c r="T302" s="2437"/>
      <c r="U302" s="2437"/>
    </row>
    <row r="303" spans="1:22" s="436" customFormat="1" ht="21.75" customHeight="1">
      <c r="A303" s="2091"/>
      <c r="B303" s="462" t="s">
        <v>1151</v>
      </c>
      <c r="C303" s="3998" t="s">
        <v>6600</v>
      </c>
      <c r="D303" s="3998"/>
      <c r="E303" s="3998"/>
      <c r="F303" s="3998"/>
      <c r="G303" s="3998"/>
      <c r="H303" s="3998"/>
      <c r="I303" s="3998"/>
      <c r="J303" s="3998"/>
      <c r="K303" s="3998"/>
      <c r="L303" s="3998"/>
      <c r="M303" s="3998"/>
      <c r="N303" s="2440" t="s">
        <v>1151</v>
      </c>
      <c r="O303" s="2431"/>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2" t="s">
        <v>7005</v>
      </c>
      <c r="B305" s="4243"/>
      <c r="C305" s="4243"/>
      <c r="D305" s="4243"/>
      <c r="E305" s="4243"/>
      <c r="F305" s="4243"/>
      <c r="G305" s="4243"/>
      <c r="H305" s="4243"/>
      <c r="I305" s="4243"/>
      <c r="J305" s="4243"/>
      <c r="K305" s="4243"/>
      <c r="L305" s="4243"/>
      <c r="M305" s="4243"/>
      <c r="N305" s="4243"/>
      <c r="O305" s="4243"/>
      <c r="P305" s="4244"/>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3"/>
      <c r="B307" s="4304"/>
      <c r="C307" s="4304"/>
      <c r="D307" s="4304"/>
      <c r="E307" s="4304"/>
      <c r="F307" s="4304"/>
      <c r="G307" s="4304"/>
      <c r="H307" s="4304"/>
      <c r="I307" s="4304"/>
      <c r="J307" s="4304"/>
      <c r="K307" s="4304"/>
      <c r="L307" s="4304"/>
      <c r="M307" s="4304"/>
      <c r="N307" s="4304"/>
      <c r="O307" s="4304"/>
      <c r="P307" s="4305"/>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6590</v>
      </c>
      <c r="D310" s="634"/>
      <c r="E310" s="634" t="s">
        <v>6601</v>
      </c>
      <c r="F310" s="634"/>
      <c r="G310" s="634"/>
      <c r="H310" s="634"/>
      <c r="I310" s="4269"/>
      <c r="J310" s="4270"/>
      <c r="K310" s="4270"/>
      <c r="L310" s="4271"/>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6591</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2" t="s">
        <v>6920</v>
      </c>
      <c r="B313" s="4243"/>
      <c r="C313" s="4243"/>
      <c r="D313" s="4243"/>
      <c r="E313" s="4243"/>
      <c r="F313" s="4243"/>
      <c r="G313" s="4243"/>
      <c r="H313" s="4243"/>
      <c r="I313" s="4243"/>
      <c r="J313" s="4243"/>
      <c r="K313" s="4243"/>
      <c r="L313" s="4243"/>
      <c r="M313" s="4243"/>
      <c r="N313" s="4243"/>
      <c r="O313" s="4243"/>
      <c r="P313" s="4244"/>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3"/>
      <c r="B315" s="4304"/>
      <c r="C315" s="4304"/>
      <c r="D315" s="4304"/>
      <c r="E315" s="4304"/>
      <c r="F315" s="4304"/>
      <c r="G315" s="4304"/>
      <c r="H315" s="4304"/>
      <c r="I315" s="4304"/>
      <c r="J315" s="4304"/>
      <c r="K315" s="4304"/>
      <c r="L315" s="4304"/>
      <c r="M315" s="4304"/>
      <c r="N315" s="4304"/>
      <c r="O315" s="4304"/>
      <c r="P315" s="4305"/>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6254</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6237</v>
      </c>
      <c r="C318" s="2080"/>
      <c r="D318" s="2080"/>
      <c r="E318" s="2080"/>
      <c r="F318" s="2080"/>
      <c r="G318" s="2080"/>
      <c r="H318" s="2080"/>
      <c r="I318" s="2080"/>
      <c r="J318" s="2080"/>
      <c r="K318" s="2080"/>
      <c r="L318" s="1508"/>
      <c r="M318" s="872"/>
      <c r="N318" s="74"/>
      <c r="O318" s="492" t="s">
        <v>2654</v>
      </c>
      <c r="P318" s="1382"/>
      <c r="Q318" s="110"/>
      <c r="T318" s="1077"/>
      <c r="U318" s="1077"/>
    </row>
    <row r="319" spans="1:22" s="43" customFormat="1" ht="12" customHeight="1">
      <c r="A319" s="1675" t="s">
        <v>1842</v>
      </c>
      <c r="B319" s="177" t="s">
        <v>3345</v>
      </c>
      <c r="C319" s="88"/>
      <c r="D319" s="58"/>
      <c r="E319" s="52"/>
      <c r="G319" s="1844"/>
      <c r="I319" s="40" t="s">
        <v>4081</v>
      </c>
      <c r="K319" s="2088" t="str">
        <f>'Part VIII Scoring Criteria'!P41</f>
        <v>Yes</v>
      </c>
      <c r="M319" s="598">
        <v>2</v>
      </c>
      <c r="N319" s="478" t="s">
        <v>1842</v>
      </c>
      <c r="P319" s="546"/>
      <c r="Q319" s="110"/>
      <c r="R319" s="1103" t="s">
        <v>2460</v>
      </c>
    </row>
    <row r="320" spans="1:22" s="103" customFormat="1" ht="10.5" customHeight="1">
      <c r="A320" s="1675"/>
      <c r="B320" s="399" t="s">
        <v>1845</v>
      </c>
      <c r="C320" s="36" t="s">
        <v>3843</v>
      </c>
      <c r="D320" s="33"/>
      <c r="N320" s="460" t="s">
        <v>3844</v>
      </c>
      <c r="O320" s="230" t="s">
        <v>2651</v>
      </c>
      <c r="P320" s="549"/>
      <c r="R320" s="401"/>
    </row>
    <row r="321" spans="1:19" s="103" customFormat="1" ht="10.5" customHeight="1">
      <c r="A321" s="1675"/>
      <c r="B321" s="399"/>
      <c r="C321" s="36" t="s">
        <v>6581</v>
      </c>
      <c r="D321" s="33"/>
      <c r="N321" s="460" t="s">
        <v>3845</v>
      </c>
      <c r="O321" s="389" t="s">
        <v>2654</v>
      </c>
      <c r="P321" s="550"/>
      <c r="R321" s="401"/>
    </row>
    <row r="322" spans="1:19" s="103" customFormat="1" ht="10.5" customHeight="1">
      <c r="A322" s="1675"/>
      <c r="B322" s="399" t="s">
        <v>1847</v>
      </c>
      <c r="C322" s="36" t="s">
        <v>3350</v>
      </c>
      <c r="D322" s="33"/>
      <c r="N322" s="874" t="s">
        <v>1847</v>
      </c>
      <c r="O322" s="389" t="s">
        <v>2651</v>
      </c>
      <c r="P322" s="550"/>
      <c r="R322" s="401"/>
    </row>
    <row r="323" spans="1:19" s="103" customFormat="1" ht="10.5" customHeight="1">
      <c r="A323" s="1675"/>
      <c r="B323" s="399" t="s">
        <v>2333</v>
      </c>
      <c r="C323" s="36" t="s">
        <v>3846</v>
      </c>
      <c r="D323" s="33"/>
      <c r="N323" s="874" t="s">
        <v>2333</v>
      </c>
      <c r="O323" s="389" t="s">
        <v>2651</v>
      </c>
      <c r="P323" s="550"/>
      <c r="R323" s="401"/>
    </row>
    <row r="324" spans="1:19" s="103" customFormat="1" ht="10.5" customHeight="1">
      <c r="A324" s="1194"/>
      <c r="B324" s="399" t="s">
        <v>1151</v>
      </c>
      <c r="C324" s="36" t="s">
        <v>3351</v>
      </c>
      <c r="D324" s="33"/>
      <c r="N324" s="874" t="s">
        <v>1151</v>
      </c>
      <c r="O324" s="231" t="s">
        <v>2651</v>
      </c>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3843</v>
      </c>
      <c r="D326" s="52"/>
      <c r="E326" s="52"/>
      <c r="M326" s="1203"/>
      <c r="N326" s="460" t="s">
        <v>3844</v>
      </c>
      <c r="O326" s="230"/>
      <c r="P326" s="549"/>
      <c r="Q326" s="110"/>
    </row>
    <row r="327" spans="1:19" s="103" customFormat="1" ht="10.5" customHeight="1">
      <c r="A327" s="139"/>
      <c r="B327" s="399"/>
      <c r="C327" s="36" t="s">
        <v>6582</v>
      </c>
      <c r="D327" s="33"/>
      <c r="N327" s="460" t="s">
        <v>3845</v>
      </c>
      <c r="O327" s="389"/>
      <c r="P327" s="550"/>
      <c r="R327" s="401"/>
    </row>
    <row r="328" spans="1:19" s="103" customFormat="1" ht="10.5" customHeight="1">
      <c r="A328" s="139"/>
      <c r="B328" s="399" t="s">
        <v>1847</v>
      </c>
      <c r="C328" s="36" t="s">
        <v>3362</v>
      </c>
      <c r="D328" s="33"/>
      <c r="N328" s="874" t="s">
        <v>1847</v>
      </c>
      <c r="O328" s="389"/>
      <c r="P328" s="550"/>
      <c r="R328" s="401"/>
    </row>
    <row r="329" spans="1:19" s="103" customFormat="1" ht="10.5" customHeight="1">
      <c r="B329" s="399" t="s">
        <v>2333</v>
      </c>
      <c r="C329" s="36" t="s">
        <v>3351</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3374</v>
      </c>
      <c r="B333" s="106" t="s">
        <v>1556</v>
      </c>
      <c r="D333" s="89"/>
      <c r="E333" s="89"/>
      <c r="G333" s="52"/>
      <c r="M333" s="872">
        <v>2</v>
      </c>
      <c r="N333" s="420"/>
      <c r="O333" s="1149">
        <v>2</v>
      </c>
      <c r="P333" s="1124"/>
      <c r="Q333" s="110" t="s">
        <v>416</v>
      </c>
      <c r="R333" s="2168" t="s">
        <v>4062</v>
      </c>
      <c r="S333" s="2168"/>
    </row>
    <row r="334" spans="1:19" s="43" customFormat="1" ht="11.25" customHeight="1">
      <c r="A334" s="139"/>
      <c r="B334" s="114" t="s">
        <v>3156</v>
      </c>
      <c r="D334" s="89"/>
      <c r="E334" s="89"/>
      <c r="G334" s="52"/>
      <c r="I334" s="3857" t="s">
        <v>6921</v>
      </c>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24.6" customHeight="1" thickTop="1" thickBot="1">
      <c r="A337" s="4242" t="s">
        <v>7019</v>
      </c>
      <c r="B337" s="4243"/>
      <c r="C337" s="4243"/>
      <c r="D337" s="4243"/>
      <c r="E337" s="4243"/>
      <c r="F337" s="4243"/>
      <c r="G337" s="4243"/>
      <c r="H337" s="4243"/>
      <c r="I337" s="4243"/>
      <c r="J337" s="4243"/>
      <c r="K337" s="4243"/>
      <c r="L337" s="4243"/>
      <c r="M337" s="4243"/>
      <c r="N337" s="4243"/>
      <c r="O337" s="4243"/>
      <c r="P337" s="4244"/>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3377</v>
      </c>
      <c r="B341" s="106" t="s">
        <v>3348</v>
      </c>
      <c r="D341" s="89"/>
      <c r="E341" s="89"/>
      <c r="F341" s="52"/>
      <c r="G341" s="52"/>
      <c r="H341" s="52"/>
      <c r="J341" s="2658" t="s">
        <v>6143</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5" t="str">
        <f>IF(OR(O343="No",O343="",O344="No",O344="",O345="No",O345="",O346="No",O346=""),"Unmet criterion results in no points!","")</f>
        <v>Unmet criterion results in no points!</v>
      </c>
      <c r="M343" s="4405"/>
      <c r="N343" s="400" t="s">
        <v>2241</v>
      </c>
      <c r="O343" s="230"/>
      <c r="P343" s="549"/>
      <c r="R343" s="4401" t="str">
        <f>IF(OR(P343="No",P343="",P344="No",P344="",P345="No",P345="",P346="No",P346=""),"Unmet criterion results in no points!","")</f>
        <v>Unmet criterion results in no points!</v>
      </c>
      <c r="S343" s="4401" t="e">
        <f>IF(OR(V343="No",V343="",V344="No",V344="",V345="No",V345="",V346="No",V346="",#REF!="No",#REF!="",#REF!="No",#REF!=""),"Unmet criterion results in no points!","")</f>
        <v>#REF!</v>
      </c>
    </row>
    <row r="344" spans="1:20" s="101" customFormat="1" ht="12.75" customHeight="1">
      <c r="B344" s="400" t="s">
        <v>2242</v>
      </c>
      <c r="C344" s="135" t="s">
        <v>3276</v>
      </c>
      <c r="L344" s="4405"/>
      <c r="M344" s="4405"/>
      <c r="N344" s="400" t="s">
        <v>2242</v>
      </c>
      <c r="O344" s="389"/>
      <c r="P344" s="550"/>
      <c r="R344" s="4401"/>
      <c r="S344" s="4401"/>
    </row>
    <row r="345" spans="1:20" s="101" customFormat="1" ht="12.75" customHeight="1">
      <c r="B345" s="400" t="s">
        <v>2243</v>
      </c>
      <c r="C345" s="135" t="s">
        <v>3275</v>
      </c>
      <c r="L345" s="4405"/>
      <c r="M345" s="4405"/>
      <c r="N345" s="400" t="s">
        <v>2243</v>
      </c>
      <c r="O345" s="389"/>
      <c r="P345" s="550"/>
      <c r="R345" s="4401"/>
      <c r="S345" s="4401"/>
    </row>
    <row r="346" spans="1:20" s="101" customFormat="1" ht="33.75" customHeight="1">
      <c r="B346" s="413" t="s">
        <v>2244</v>
      </c>
      <c r="C346" s="4358" t="s">
        <v>6602</v>
      </c>
      <c r="D346" s="4358"/>
      <c r="E346" s="4358"/>
      <c r="F346" s="4358"/>
      <c r="G346" s="4358"/>
      <c r="H346" s="4358"/>
      <c r="I346" s="4358"/>
      <c r="J346" s="4358"/>
      <c r="K346" s="4358"/>
      <c r="L346" s="4358"/>
      <c r="M346" s="4358"/>
      <c r="N346" s="413" t="s">
        <v>2244</v>
      </c>
      <c r="O346" s="1174"/>
      <c r="P346" s="1175"/>
    </row>
    <row r="347" spans="1:20" ht="3" customHeight="1" thickBot="1">
      <c r="C347" s="4358"/>
      <c r="D347" s="4358"/>
      <c r="E347" s="4358"/>
      <c r="F347" s="4358"/>
      <c r="G347" s="4358"/>
      <c r="H347" s="4358"/>
      <c r="I347" s="4358"/>
      <c r="J347" s="4358"/>
      <c r="K347" s="4358"/>
      <c r="L347" s="4358"/>
      <c r="M347" s="4358"/>
    </row>
    <row r="348" spans="1:20" ht="12.75" customHeight="1" thickBot="1">
      <c r="A348" s="1020" t="s">
        <v>1842</v>
      </c>
      <c r="B348" s="190" t="s">
        <v>3349</v>
      </c>
      <c r="L348" s="401" t="str">
        <f>IF(O348&lt;=M348,"","* * Check Score! * *")</f>
        <v/>
      </c>
      <c r="M348" s="1127">
        <v>3</v>
      </c>
      <c r="N348" s="478" t="s">
        <v>1842</v>
      </c>
      <c r="O348" s="2118"/>
      <c r="P348" s="2119"/>
      <c r="Q348" s="1004" t="str">
        <f>IF(O348&lt;=M348,"","*CHECK!*")</f>
        <v/>
      </c>
      <c r="R348" s="1076" t="s">
        <v>4062</v>
      </c>
      <c r="S348" s="1076"/>
      <c r="T348" s="1819"/>
    </row>
    <row r="349" spans="1:20" ht="12.75" customHeight="1">
      <c r="A349" s="1020"/>
      <c r="B349" s="876" t="s">
        <v>6719</v>
      </c>
      <c r="C349" s="1007"/>
      <c r="D349" s="1007"/>
      <c r="E349" s="1007"/>
      <c r="F349" s="1007"/>
      <c r="G349" s="1007"/>
      <c r="H349" s="1007"/>
      <c r="I349" s="1007"/>
      <c r="N349" s="27"/>
      <c r="O349" s="2049"/>
      <c r="P349" s="2107"/>
      <c r="R349" s="1076"/>
      <c r="S349" s="1076"/>
      <c r="T349" s="1819"/>
    </row>
    <row r="350" spans="1:20" ht="12.75" customHeight="1">
      <c r="A350" s="1020"/>
      <c r="B350" s="2622" t="s">
        <v>6718</v>
      </c>
      <c r="C350" s="1007"/>
      <c r="D350" s="1007"/>
      <c r="E350" s="1007"/>
      <c r="F350" s="1007"/>
      <c r="G350" s="1007"/>
      <c r="H350" s="1007"/>
      <c r="I350" s="1007"/>
      <c r="J350" s="4345" t="s">
        <v>1849</v>
      </c>
      <c r="K350" s="4345"/>
      <c r="M350" s="4345" t="s">
        <v>1849</v>
      </c>
      <c r="N350" s="4345"/>
      <c r="O350" s="4345"/>
      <c r="P350" s="4345"/>
      <c r="R350" s="2432"/>
      <c r="S350" s="2432"/>
      <c r="T350" s="1819"/>
    </row>
    <row r="351" spans="1:20" s="43" customFormat="1" ht="12.75" customHeight="1">
      <c r="A351" s="188"/>
      <c r="B351" s="2440" t="s">
        <v>6604</v>
      </c>
      <c r="C351" s="36" t="s">
        <v>1389</v>
      </c>
      <c r="I351" s="400" t="s">
        <v>2241</v>
      </c>
      <c r="J351" s="4335"/>
      <c r="K351" s="4336"/>
      <c r="L351" s="400" t="s">
        <v>2241</v>
      </c>
      <c r="M351" s="4445"/>
      <c r="N351" s="4446"/>
      <c r="O351" s="4446"/>
      <c r="P351" s="44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3957</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6238</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6605</v>
      </c>
      <c r="I359" s="412" t="s">
        <v>2264</v>
      </c>
      <c r="J359" s="4340"/>
      <c r="K359" s="4341"/>
      <c r="L359" s="412" t="s">
        <v>2264</v>
      </c>
      <c r="M359" s="4342"/>
      <c r="N359" s="4343"/>
      <c r="O359" s="4343"/>
      <c r="P359" s="4344"/>
      <c r="R359" s="401"/>
    </row>
    <row r="360" spans="1:22" ht="12.75" customHeight="1">
      <c r="B360" s="412" t="s">
        <v>3159</v>
      </c>
      <c r="C360" s="36" t="s">
        <v>3829</v>
      </c>
      <c r="I360" s="412" t="s">
        <v>3159</v>
      </c>
      <c r="J360" s="4340"/>
      <c r="K360" s="4341"/>
      <c r="L360" s="412" t="s">
        <v>3159</v>
      </c>
      <c r="M360" s="4342"/>
      <c r="N360" s="4343"/>
      <c r="O360" s="4343"/>
      <c r="P360" s="4344"/>
      <c r="R360" s="401"/>
    </row>
    <row r="361" spans="1:22" ht="12.75" customHeight="1" thickBot="1">
      <c r="B361" s="412" t="s">
        <v>6239</v>
      </c>
      <c r="C361" s="36" t="s">
        <v>6240</v>
      </c>
      <c r="I361" s="412" t="s">
        <v>6239</v>
      </c>
      <c r="J361" s="4340"/>
      <c r="K361" s="4341"/>
      <c r="L361" s="412" t="s">
        <v>6239</v>
      </c>
      <c r="M361" s="4436"/>
      <c r="N361" s="4437"/>
      <c r="O361" s="4437"/>
      <c r="P361" s="4438"/>
      <c r="R361" s="401"/>
    </row>
    <row r="362" spans="1:22" ht="12.75" customHeight="1" thickBot="1">
      <c r="B362" s="1178" t="s">
        <v>6606</v>
      </c>
      <c r="H362" s="1196" t="s">
        <v>2414</v>
      </c>
      <c r="J362" s="4331">
        <f>SUM(J351:K361)</f>
        <v>0</v>
      </c>
      <c r="K362" s="4332"/>
      <c r="M362" s="4331">
        <f>SUM($M351:$M361)</f>
        <v>0</v>
      </c>
      <c r="N362" s="4334"/>
      <c r="O362" s="4334"/>
      <c r="P362" s="4332"/>
      <c r="R362" s="401"/>
    </row>
    <row r="363" spans="1:22" ht="6" customHeight="1">
      <c r="M363" s="516"/>
      <c r="N363" s="516"/>
      <c r="O363" s="160"/>
      <c r="P363" s="516"/>
    </row>
    <row r="364" spans="1:22" s="43" customFormat="1" ht="12" customHeight="1">
      <c r="A364" s="42"/>
      <c r="B364" s="1512" t="s">
        <v>1847</v>
      </c>
      <c r="C364" s="526" t="s">
        <v>2413</v>
      </c>
      <c r="D364" s="1006"/>
      <c r="E364" s="1006"/>
      <c r="F364" s="458" t="s">
        <v>6241</v>
      </c>
      <c r="H364" s="27"/>
      <c r="I364" s="27"/>
      <c r="J364" s="4455">
        <f>'Part V-Revenues &amp; Expenses'!$P$67</f>
        <v>46</v>
      </c>
      <c r="K364" s="4456"/>
      <c r="L364" s="560"/>
      <c r="M364" s="516"/>
      <c r="N364" s="516"/>
      <c r="O364" s="1121"/>
      <c r="P364" s="516"/>
    </row>
    <row r="365" spans="1:22" ht="13.5" customHeight="1">
      <c r="C365" s="1006"/>
      <c r="D365" s="1006"/>
      <c r="E365" s="1006"/>
      <c r="F365" s="461" t="s">
        <v>6242</v>
      </c>
      <c r="J365" s="4453">
        <f>IF(J364=0,0,J362/J364)</f>
        <v>0</v>
      </c>
      <c r="K365" s="4454"/>
      <c r="M365" s="4337">
        <f>IF($J364=0,0,$M362/$J364)</f>
        <v>0</v>
      </c>
      <c r="N365" s="4338"/>
      <c r="O365" s="4338"/>
      <c r="P365" s="4339"/>
    </row>
    <row r="366" spans="1:22" s="43" customFormat="1" ht="12.75" customHeight="1">
      <c r="C366" s="1006"/>
      <c r="D366" s="1006"/>
      <c r="E366" s="1006"/>
      <c r="F366" s="1064" t="s">
        <v>6243</v>
      </c>
      <c r="I366" s="27"/>
      <c r="J366" s="4426">
        <f>IF(L343="", IF($J365&gt;=30000, 3,IF($J365&gt;=20000, 2,IF($J365&gt;=10000,1,0))),0)</f>
        <v>0</v>
      </c>
      <c r="K366" s="4427"/>
      <c r="L366" s="524"/>
      <c r="M366" s="4426">
        <f>IF(R343="", IF($M365&gt;=30000, 3,IF($M365&gt;=20000, 2,IF($M365&gt;=10000,1,0))),0)</f>
        <v>0</v>
      </c>
      <c r="N366" s="4452"/>
      <c r="O366" s="4452"/>
      <c r="P366" s="4427"/>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4062</v>
      </c>
      <c r="V368" s="1077"/>
    </row>
    <row r="369" spans="1:22" s="43" customFormat="1" ht="22.5" customHeight="1">
      <c r="A369" s="139"/>
      <c r="B369" s="462" t="s">
        <v>1845</v>
      </c>
      <c r="C369" s="4003" t="s">
        <v>6607</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3830</v>
      </c>
      <c r="N371" s="874" t="s">
        <v>2333</v>
      </c>
      <c r="O371" s="2423"/>
      <c r="P371" s="551"/>
    </row>
    <row r="372" spans="1:22" ht="12" customHeight="1" thickBot="1">
      <c r="B372" s="1197" t="s">
        <v>3242</v>
      </c>
    </row>
    <row r="373" spans="1:22" s="43" customFormat="1" ht="21.75" customHeight="1" thickTop="1" thickBot="1">
      <c r="A373" s="4242" t="s">
        <v>7026</v>
      </c>
      <c r="B373" s="4243"/>
      <c r="C373" s="4243"/>
      <c r="D373" s="4243"/>
      <c r="E373" s="4243"/>
      <c r="F373" s="4243"/>
      <c r="G373" s="4243"/>
      <c r="H373" s="4243"/>
      <c r="I373" s="4243"/>
      <c r="J373" s="4243"/>
      <c r="K373" s="4243"/>
      <c r="L373" s="4243"/>
      <c r="M373" s="4243"/>
      <c r="N373" s="4243"/>
      <c r="O373" s="4243"/>
      <c r="P373" s="4244"/>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6087</v>
      </c>
      <c r="I377" s="2076" t="s">
        <v>6254</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3889</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3958</v>
      </c>
      <c r="C381" s="416"/>
      <c r="D381" s="416"/>
      <c r="E381" s="416"/>
      <c r="F381" s="416"/>
      <c r="G381" s="416"/>
      <c r="H381" s="416"/>
      <c r="I381" s="416"/>
      <c r="M381" s="2454">
        <v>2</v>
      </c>
      <c r="N381" s="163" t="s">
        <v>1842</v>
      </c>
      <c r="O381" s="599"/>
      <c r="P381" s="1381"/>
      <c r="Q381" s="1004" t="str">
        <f>IF(OR($O381=$M381,$O381=0,$O381=""),"","*CHECK!*")</f>
        <v/>
      </c>
      <c r="R381" s="1001" t="s">
        <v>4062</v>
      </c>
    </row>
    <row r="382" spans="1:22" s="436" customFormat="1" ht="12" customHeight="1">
      <c r="A382" s="435"/>
      <c r="B382" s="4431" t="s">
        <v>6608</v>
      </c>
      <c r="C382" s="4431"/>
      <c r="D382" s="4431"/>
      <c r="E382" s="4431"/>
      <c r="F382" s="4431"/>
      <c r="G382" s="4431"/>
      <c r="H382" s="4431"/>
      <c r="I382" s="4431"/>
      <c r="J382" s="4431"/>
      <c r="K382" s="4431"/>
      <c r="L382" s="4431"/>
      <c r="M382" s="4435" t="s">
        <v>3890</v>
      </c>
      <c r="N382" s="4435"/>
      <c r="Q382" s="185"/>
    </row>
    <row r="383" spans="1:22" s="436" customFormat="1" ht="12" customHeight="1">
      <c r="B383" s="4431"/>
      <c r="C383" s="4431"/>
      <c r="D383" s="4431"/>
      <c r="E383" s="4431"/>
      <c r="F383" s="4431"/>
      <c r="G383" s="4431"/>
      <c r="H383" s="4431"/>
      <c r="I383" s="4431"/>
      <c r="J383" s="4431"/>
      <c r="K383" s="4431"/>
      <c r="L383" s="4431"/>
      <c r="M383" s="4435"/>
      <c r="N383" s="4435"/>
      <c r="O383" s="4441">
        <f>'Part V-Revenues &amp; Expenses'!$P$123</f>
        <v>0</v>
      </c>
      <c r="P383" s="4442"/>
      <c r="Q383" s="185"/>
    </row>
    <row r="384" spans="1:22" s="436" customFormat="1" ht="12" customHeight="1">
      <c r="B384" s="4431"/>
      <c r="C384" s="4431"/>
      <c r="D384" s="4431"/>
      <c r="E384" s="4431"/>
      <c r="F384" s="4431"/>
      <c r="G384" s="4431"/>
      <c r="H384" s="4431"/>
      <c r="I384" s="4431"/>
      <c r="J384" s="4431"/>
      <c r="K384" s="4431"/>
      <c r="L384" s="4431"/>
      <c r="M384" s="1009" t="s">
        <v>2519</v>
      </c>
      <c r="N384" s="437"/>
      <c r="O384" s="4439">
        <f>'Part V-Revenues &amp; Expenses'!$P$67</f>
        <v>46</v>
      </c>
      <c r="P384" s="4440"/>
      <c r="Q384" s="185"/>
    </row>
    <row r="385" spans="1:19" s="436" customFormat="1" ht="12" customHeight="1">
      <c r="B385" s="4432"/>
      <c r="C385" s="4432"/>
      <c r="D385" s="4432"/>
      <c r="E385" s="4432"/>
      <c r="F385" s="4432"/>
      <c r="G385" s="4432"/>
      <c r="H385" s="4432"/>
      <c r="I385" s="4432"/>
      <c r="J385" s="4432"/>
      <c r="K385" s="4432"/>
      <c r="L385" s="4432"/>
      <c r="M385" s="1513" t="s">
        <v>2520</v>
      </c>
      <c r="N385" s="437"/>
      <c r="O385" s="4433">
        <f>IF(O384=0,0,O383/O384)</f>
        <v>0</v>
      </c>
      <c r="P385" s="4434"/>
      <c r="Q385" s="185"/>
    </row>
    <row r="386" spans="1:19" s="43" customFormat="1" ht="105.75" customHeight="1">
      <c r="A386" s="541"/>
      <c r="B386" s="4050" t="s">
        <v>3416</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3959</v>
      </c>
      <c r="C388" s="140"/>
      <c r="D388" s="854"/>
      <c r="H388" s="416"/>
      <c r="M388" s="437">
        <v>2</v>
      </c>
      <c r="N388" s="163" t="s">
        <v>1844</v>
      </c>
      <c r="O388" s="599"/>
      <c r="P388" s="1381"/>
      <c r="Q388" s="1004" t="str">
        <f>IF(OR($O388=$M388,$O388=0,$O388=""),"","*CHECK!*")</f>
        <v/>
      </c>
      <c r="R388" s="1001" t="s">
        <v>4062</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3831</v>
      </c>
      <c r="H390" s="2444">
        <f>'Part V-Revenues &amp; Expenses'!$P$125</f>
        <v>0</v>
      </c>
      <c r="I390" s="1214" t="s">
        <v>2519</v>
      </c>
      <c r="J390" s="540">
        <f>'Part V-Revenues &amp; Expenses'!$P$67</f>
        <v>46</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2" t="s">
        <v>6922</v>
      </c>
      <c r="B392" s="4243"/>
      <c r="C392" s="4243"/>
      <c r="D392" s="4243"/>
      <c r="E392" s="4243"/>
      <c r="F392" s="4243"/>
      <c r="G392" s="4243"/>
      <c r="H392" s="4243"/>
      <c r="I392" s="4243"/>
      <c r="J392" s="4243"/>
      <c r="K392" s="4243"/>
      <c r="L392" s="4243"/>
      <c r="M392" s="4243"/>
      <c r="N392" s="4243"/>
      <c r="O392" s="4243"/>
      <c r="P392" s="4244"/>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4039</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6612</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6613</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6244</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6614</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242" t="s">
        <v>7006</v>
      </c>
      <c r="B413" s="4243"/>
      <c r="C413" s="4243"/>
      <c r="D413" s="4243"/>
      <c r="E413" s="4243"/>
      <c r="F413" s="4243"/>
      <c r="G413" s="4243"/>
      <c r="H413" s="4243"/>
      <c r="I413" s="4243"/>
      <c r="J413" s="4243"/>
      <c r="K413" s="4243"/>
      <c r="L413" s="4243"/>
      <c r="M413" s="4243"/>
      <c r="N413" s="4243"/>
      <c r="O413" s="4243"/>
      <c r="P413" s="4244"/>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6245</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2" t="s">
        <v>2815</v>
      </c>
      <c r="B419" s="4243"/>
      <c r="C419" s="4243"/>
      <c r="D419" s="4243"/>
      <c r="E419" s="4243"/>
      <c r="F419" s="4243"/>
      <c r="G419" s="4243"/>
      <c r="H419" s="4243"/>
      <c r="I419" s="4243"/>
      <c r="J419" s="4243"/>
      <c r="K419" s="4243"/>
      <c r="L419" s="4243"/>
      <c r="M419" s="4243"/>
      <c r="N419" s="4243"/>
      <c r="O419" s="4243"/>
      <c r="P419" s="4244"/>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6615</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3806</v>
      </c>
      <c r="B427" s="106" t="s">
        <v>6616</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2" t="s">
        <v>2815</v>
      </c>
      <c r="B429" s="4243"/>
      <c r="C429" s="4243"/>
      <c r="D429" s="4243"/>
      <c r="E429" s="4243"/>
      <c r="F429" s="4243"/>
      <c r="G429" s="4243"/>
      <c r="H429" s="4243"/>
      <c r="I429" s="4243"/>
      <c r="J429" s="4243"/>
      <c r="K429" s="4243"/>
      <c r="L429" s="4243"/>
      <c r="M429" s="4243"/>
      <c r="N429" s="4243"/>
      <c r="O429" s="4243"/>
      <c r="P429" s="4244"/>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6087</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6137</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6138</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2" t="s">
        <v>2815</v>
      </c>
      <c r="B437" s="4243"/>
      <c r="C437" s="4243"/>
      <c r="D437" s="4243"/>
      <c r="E437" s="4243"/>
      <c r="F437" s="4243"/>
      <c r="G437" s="4243"/>
      <c r="H437" s="4243"/>
      <c r="I437" s="4243"/>
      <c r="J437" s="4243"/>
      <c r="K437" s="4243"/>
      <c r="L437" s="4243"/>
      <c r="M437" s="4243"/>
      <c r="N437" s="4243"/>
      <c r="O437" s="4243"/>
      <c r="P437" s="4244"/>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5" t="s">
        <v>6750</v>
      </c>
      <c r="R440" s="4535"/>
      <c r="S440" s="4535"/>
      <c r="T440" s="4535"/>
      <c r="U440" s="4535"/>
      <c r="V440" s="4535"/>
      <c r="W440" s="4535"/>
      <c r="X440" s="4535"/>
      <c r="Y440" s="4535"/>
      <c r="Z440" s="4535"/>
      <c r="AA440" s="4535"/>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69</v>
      </c>
      <c r="P441" s="2104">
        <f>-P10+P63+P88+P102+P112+P151+P168+P189+P204+P224+P232+P241+P251+P260+P273+P284+P309+P317+P333+P341+P377+P396+P404+P423+P427+P433</f>
        <v>25</v>
      </c>
      <c r="Q441" s="4535"/>
      <c r="R441" s="4535"/>
      <c r="S441" s="4535"/>
      <c r="T441" s="4535"/>
      <c r="U441" s="4535"/>
      <c r="V441" s="4535"/>
      <c r="W441" s="4535"/>
      <c r="X441" s="4535"/>
      <c r="Y441" s="4535"/>
      <c r="Z441" s="4535"/>
      <c r="AA441" s="4535"/>
    </row>
    <row r="442" spans="1:27" s="43" customFormat="1" ht="15.75" thickTop="1">
      <c r="A442" s="42"/>
      <c r="C442" s="2080"/>
      <c r="D442" s="2080"/>
      <c r="E442" s="2080"/>
      <c r="F442" s="2080"/>
      <c r="G442" s="2080"/>
      <c r="H442" s="2080"/>
      <c r="I442" s="2080"/>
      <c r="J442" s="2080"/>
      <c r="K442" s="2080"/>
      <c r="L442" s="2080"/>
      <c r="M442" s="2080"/>
      <c r="N442" s="2501"/>
      <c r="O442" s="2501"/>
      <c r="P442" s="2501"/>
      <c r="Q442" s="4535"/>
      <c r="R442" s="4535"/>
      <c r="S442" s="4535"/>
      <c r="T442" s="4535"/>
      <c r="U442" s="4535"/>
      <c r="V442" s="4535"/>
      <c r="W442" s="4535"/>
      <c r="X442" s="4535"/>
      <c r="Y442" s="4535"/>
      <c r="Z442" s="4535"/>
      <c r="AA442" s="4535"/>
    </row>
    <row r="443" spans="1:27" s="160" customFormat="1" ht="6.75" customHeight="1">
      <c r="A443" s="54"/>
      <c r="B443" s="67"/>
      <c r="C443" s="54"/>
      <c r="D443" s="148"/>
      <c r="E443" s="148"/>
      <c r="F443" s="40"/>
      <c r="G443" s="40"/>
      <c r="H443" s="69"/>
      <c r="I443" s="69"/>
      <c r="J443" s="494"/>
      <c r="K443" s="494"/>
      <c r="L443" s="43"/>
      <c r="M443" s="148"/>
      <c r="N443" s="1203"/>
      <c r="O443" s="1203"/>
      <c r="P443" s="3"/>
      <c r="Q443" s="4535"/>
      <c r="R443" s="4535"/>
      <c r="S443" s="4535"/>
      <c r="T443" s="4535"/>
      <c r="U443" s="4535"/>
      <c r="V443" s="4535"/>
      <c r="W443" s="4535"/>
      <c r="X443" s="4535"/>
      <c r="Y443" s="4535"/>
      <c r="Z443" s="4535"/>
      <c r="AA443" s="4535"/>
    </row>
    <row r="444" spans="1:27" s="43" customFormat="1" ht="22.5" customHeight="1">
      <c r="A444" s="4333" t="s">
        <v>6705</v>
      </c>
      <c r="B444" s="4333"/>
      <c r="C444" s="4333"/>
      <c r="D444" s="4333"/>
      <c r="E444" s="4333"/>
      <c r="F444" s="4333"/>
      <c r="G444" s="4333"/>
      <c r="H444" s="4333"/>
      <c r="I444" s="4333"/>
      <c r="J444" s="4333"/>
      <c r="K444" s="4333"/>
      <c r="L444" s="4333"/>
      <c r="M444" s="4333"/>
      <c r="N444" s="4333"/>
      <c r="O444" s="4333"/>
      <c r="P444" s="4333"/>
      <c r="Q444" s="4535"/>
      <c r="R444" s="4535"/>
      <c r="S444" s="4535"/>
      <c r="T444" s="4535"/>
      <c r="U444" s="4535"/>
      <c r="V444" s="4535"/>
      <c r="W444" s="4535"/>
      <c r="X444" s="4535"/>
      <c r="Y444" s="4535"/>
      <c r="Z444" s="4535"/>
      <c r="AA444" s="4535"/>
    </row>
    <row r="445" spans="1:27" s="43" customFormat="1" ht="409.15" customHeight="1">
      <c r="A445" s="4013" t="s">
        <v>7007</v>
      </c>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c r="A446" s="2306" t="e">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0" t="s">
        <v>1408</v>
      </c>
      <c r="H465" s="4330"/>
      <c r="I465" s="4330"/>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4067</v>
      </c>
      <c r="H466" s="2523" t="s">
        <v>4068</v>
      </c>
      <c r="I466" s="2522" t="s">
        <v>4066</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4070</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4069</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4069</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4069</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4069</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4070</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4070</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4069</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4070</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4069</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4069</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4069</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4069</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4069</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4069</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4069</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4070</v>
      </c>
      <c r="I486" s="2522" t="s">
        <v>2454</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4069</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4069</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4069</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4070</v>
      </c>
      <c r="I490" s="2522" t="s">
        <v>2454</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4069</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4069</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4070</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4070</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4069</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4069</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4069</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4069</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4069</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4064</v>
      </c>
      <c r="H500" s="2517" t="s">
        <v>4070</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4070</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4070</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4070</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4069</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4069</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4069</v>
      </c>
      <c r="J506" s="2523"/>
      <c r="K506" s="472"/>
      <c r="L506" s="2523"/>
      <c r="M506" s="472"/>
      <c r="N506" s="2517"/>
      <c r="O506" s="2307"/>
      <c r="P506" s="2307"/>
      <c r="Q506" s="2308"/>
      <c r="R506" s="2306"/>
    </row>
    <row r="507" spans="1:18" s="160" customFormat="1">
      <c r="A507" s="2306"/>
      <c r="B507" s="2306"/>
      <c r="C507" s="2530"/>
      <c r="D507" s="472"/>
      <c r="E507" s="472"/>
      <c r="F507" s="472"/>
      <c r="G507" s="2525" t="s">
        <v>4065</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4069</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4069</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4069</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4069</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4069</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4069</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4069</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4070</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80" priority="131" operator="greaterThan">
      <formula>M151</formula>
    </cfRule>
  </conditionalFormatting>
  <conditionalFormatting sqref="F104">
    <cfRule type="expression" dxfId="79" priority="168">
      <formula>AND($O$204&gt;0,$O$204&lt;4,OR($I$204="Statutory Redevelopment Plan",$I$204="Redevelopment Zone",$I$204="Local Redevelopment Plan"))</formula>
    </cfRule>
  </conditionalFormatting>
  <conditionalFormatting sqref="O93">
    <cfRule type="cellIs" dxfId="78" priority="78" operator="notEqual">
      <formula>$M93</formula>
    </cfRule>
  </conditionalFormatting>
  <conditionalFormatting sqref="O140 O142">
    <cfRule type="cellIs" dxfId="77" priority="71" operator="notEqual">
      <formula>$M140</formula>
    </cfRule>
  </conditionalFormatting>
  <conditionalFormatting sqref="O132">
    <cfRule type="cellIs" dxfId="76" priority="72" operator="notEqual">
      <formula>$M132</formula>
    </cfRule>
  </conditionalFormatting>
  <conditionalFormatting sqref="O94">
    <cfRule type="cellIs" dxfId="75" priority="59" operator="notEqual">
      <formula>$M94</formula>
    </cfRule>
  </conditionalFormatting>
  <conditionalFormatting sqref="O181">
    <cfRule type="cellIs" dxfId="74" priority="61" operator="notEqual">
      <formula>$M181</formula>
    </cfRule>
  </conditionalFormatting>
  <conditionalFormatting sqref="O183">
    <cfRule type="cellIs" dxfId="73" priority="60" operator="notEqual">
      <formula>$M183</formula>
    </cfRule>
  </conditionalFormatting>
  <conditionalFormatting sqref="I90">
    <cfRule type="containsText" dxfId="72" priority="56" operator="containsText" text="&lt;&lt; Select Election or Income Averaging &gt;&gt;">
      <formula>NOT(ISERROR(SEARCH("&lt;&lt; Select Election or Income Averaging &gt;&gt;",I90)))</formula>
    </cfRule>
  </conditionalFormatting>
  <conditionalFormatting sqref="O88">
    <cfRule type="containsText" dxfId="71" priority="55" operator="containsText" text="AorB?">
      <formula>NOT(ISERROR(SEARCH("AorB?",O88)))</formula>
    </cfRule>
  </conditionalFormatting>
  <conditionalFormatting sqref="M134">
    <cfRule type="containsText" dxfId="70" priority="54" operator="containsText" text="Pick A1 or A2!">
      <formula>NOT(ISERROR(SEARCH("Pick A1 or A2!",M134)))</formula>
    </cfRule>
  </conditionalFormatting>
  <conditionalFormatting sqref="P181">
    <cfRule type="cellIs" dxfId="69" priority="52" operator="notEqual">
      <formula>$M181</formula>
    </cfRule>
  </conditionalFormatting>
  <conditionalFormatting sqref="I128">
    <cfRule type="containsText" dxfId="68" priority="48" operator="containsText" text="Pick A1 or A2!">
      <formula>NOT(ISERROR(SEARCH("Pick A1 or A2!",I128)))</formula>
    </cfRule>
  </conditionalFormatting>
  <conditionalFormatting sqref="K128">
    <cfRule type="containsText" dxfId="67" priority="47" operator="containsText" text="Pick A1 or A2!">
      <formula>NOT(ISERROR(SEARCH("Pick A1 or A2!",K128)))</formula>
    </cfRule>
  </conditionalFormatting>
  <conditionalFormatting sqref="O179">
    <cfRule type="cellIs" dxfId="66" priority="46" operator="notEqual">
      <formula>$M179</formula>
    </cfRule>
  </conditionalFormatting>
  <conditionalFormatting sqref="P179">
    <cfRule type="cellIs" dxfId="65" priority="45" operator="notEqual">
      <formula>$M179</formula>
    </cfRule>
  </conditionalFormatting>
  <conditionalFormatting sqref="O180">
    <cfRule type="cellIs" dxfId="64" priority="42" operator="notEqual">
      <formula>$M180</formula>
    </cfRule>
  </conditionalFormatting>
  <conditionalFormatting sqref="P180">
    <cfRule type="cellIs" dxfId="63" priority="41" operator="notEqual">
      <formula>$M180</formula>
    </cfRule>
  </conditionalFormatting>
  <conditionalFormatting sqref="O206">
    <cfRule type="cellIs" dxfId="62" priority="7" operator="greaterThan">
      <formula>$M206</formula>
    </cfRule>
  </conditionalFormatting>
  <conditionalFormatting sqref="O210">
    <cfRule type="cellIs" dxfId="61" priority="6" operator="greaterThan">
      <formula>$M210</formula>
    </cfRule>
  </conditionalFormatting>
  <conditionalFormatting sqref="O241">
    <cfRule type="cellIs" dxfId="60" priority="5" operator="notEqual">
      <formula>$M241</formula>
    </cfRule>
  </conditionalFormatting>
  <conditionalFormatting sqref="O171">
    <cfRule type="cellIs" dxfId="59" priority="3" operator="notEqual">
      <formula>$M171</formula>
    </cfRule>
  </conditionalFormatting>
  <conditionalFormatting sqref="P171">
    <cfRule type="cellIs" dxfId="58" priority="2" operator="notEqual">
      <formula>$M171</formula>
    </cfRule>
  </conditionalFormatting>
  <conditionalFormatting sqref="O138">
    <cfRule type="cellIs" dxfId="57" priority="171" operator="notEqual">
      <formula>$M138</formula>
    </cfRule>
  </conditionalFormatting>
  <dataValidations count="24">
    <dataValidation type="list" allowBlank="1" showInputMessage="1" showErrorMessage="1" sqref="D379:I379">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dataValidation type="list" allowBlank="1" showInputMessage="1" showErrorMessage="1" sqref="P167 P432 P395 P188 P150 P376 P403 P416 P405 P422 P426 P41:P43 P47:P48">
      <formula1>"Yes, No"</formula1>
    </dataValidation>
    <dataValidation type="whole" operator="lessThanOrEqual" allowBlank="1" showInputMessage="1" showErrorMessage="1" sqref="P93">
      <formula1>$M93</formula1>
    </dataValidation>
    <dataValidation type="list" allowBlank="1" showInputMessage="1" showErrorMessage="1" sqref="F75:F86 J76 J78 J80 J82 J84 J86 O76:P76 O79:P86 P68 P13:P32">
      <formula1>"0,1"</formula1>
    </dataValidation>
    <dataValidation type="whole" operator="equal" allowBlank="1" showErrorMessage="1" errorTitle="Incorrect Point Value Entered" error="Please re-check the point value for this criterion." sqref="O93:O94">
      <formula1>$M93</formula1>
    </dataValidation>
    <dataValidation type="decimal" operator="lessThanOrEqual" allowBlank="1" showInputMessage="1" showErrorMessage="1" sqref="O105:P105 O151:P151 O132:P132">
      <formula1>$M105</formula1>
    </dataValidation>
    <dataValidation type="list" allowBlank="1" showInputMessage="1" showErrorMessage="1" sqref="L207">
      <formula1>"Site Census Tract, Other Census Tract"</formula1>
    </dataValidation>
    <dataValidation type="list" allowBlank="1" showInputMessage="1" showErrorMessage="1" sqref="E215 J215">
      <formula1>"Above 60th Percentile/Below 80th Percentile, At or Above 80th Percentile, At or Below 60th Percentile"</formula1>
    </dataValidation>
    <dataValidation type="list" allowBlank="1" showInputMessage="1" showErrorMessage="1" sqref="J212:J214 E212:E214">
      <formula1>"Above 60th Percentile, At or Below 60th Percentile"</formula1>
    </dataValidation>
    <dataValidation type="list" allowBlank="1" showInputMessage="1" showErrorMessage="1" sqref="I213:I215">
      <formula1>"2018,2019,2020"</formula1>
    </dataValidation>
    <dataValidation type="whole" operator="equal" allowBlank="1" showInputMessage="1" showErrorMessage="1" sqref="P142 P140">
      <formula1>$M140</formula1>
    </dataValidation>
    <dataValidation type="list" allowBlank="1" showInputMessage="1" showErrorMessage="1" sqref="O417:P417 P423">
      <formula1>"2, 4, 6"</formula1>
    </dataValidation>
    <dataValidation type="list" allowBlank="1" showInputMessage="1" showErrorMessage="1" sqref="O427:P427">
      <formula1>"2, 3, 4"</formula1>
    </dataValidation>
    <dataValidation type="list" allowBlank="1" showInputMessage="1" showErrorMessage="1" sqref="O434:P434">
      <formula1>"4, 6"</formula1>
    </dataValidation>
    <dataValidation type="list" allowBlank="1" showInputMessage="1" showErrorMessage="1" sqref="O435:P435">
      <formula1>"2, 4"</formula1>
    </dataValidation>
    <dataValidation type="list" allowBlank="1" showInputMessage="1" showErrorMessage="1" sqref="O133:P133">
      <formula1>"4, 4.5, 5"</formula1>
    </dataValidation>
    <dataValidation type="list" allowBlank="1" showInputMessage="1" showErrorMessage="1" sqref="O138:P139">
      <formula1>"1,2,3"</formula1>
    </dataValidation>
    <dataValidation type="list" allowBlank="1" showInputMessage="1" showErrorMessage="1" sqref="O290:P292">
      <formula1>"Yes, No, N/a, TBD"</formula1>
    </dataValidation>
    <dataValidation type="list" allowBlank="1" showInputMessage="1" showErrorMessage="1" sqref="I288:L288">
      <formula1>"Select Certification, GDOAS Minority Business Enterprise Certification, GDOT Disadvantaged Business Enterprise, NMSDC, TBD (only if Option A)"</formula1>
    </dataValidation>
    <dataValidation type="list" allowBlank="1" showInputMessage="1" showErrorMessage="1" sqref="M54:P55">
      <formula1>"&lt;&lt; Select Activity Type &gt;&gt;, New Supply, Preservation"</formula1>
    </dataValidation>
    <dataValidation type="list" allowBlank="1" showInputMessage="1" showErrorMessage="1" sqref="M59:P60">
      <formula1>"&lt;&lt; Select Pool &gt;&gt;, Rural, Other Metro, Atlanta Metro"</formula1>
    </dataValidation>
    <dataValidation type="list" allowBlank="1" showInputMessage="1" showErrorMessage="1" sqref="J207:K207">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5" t="s">
        <v>2583</v>
      </c>
      <c r="B1" s="4545"/>
      <c r="C1" s="4545"/>
      <c r="D1" s="4545"/>
      <c r="E1" s="4545"/>
      <c r="F1" s="4545"/>
      <c r="G1" s="4545"/>
      <c r="H1" s="4545"/>
      <c r="I1" s="4545"/>
      <c r="J1" s="4545"/>
    </row>
    <row r="2" spans="1:16" ht="15.75">
      <c r="A2" s="4545" t="str">
        <f>'Sensitivity Analysis'!C8</f>
        <v>Magnolia Villas</v>
      </c>
      <c r="B2" s="4545"/>
      <c r="C2" s="4545"/>
      <c r="D2" s="4545"/>
      <c r="E2" s="4545"/>
      <c r="F2" s="4545"/>
      <c r="G2" s="4545"/>
      <c r="H2" s="4545"/>
      <c r="I2" s="4545"/>
      <c r="J2" s="4545"/>
    </row>
    <row r="3" spans="1:16" ht="15.75">
      <c r="A3" s="4545" t="str">
        <f>'Subsidy Layering Memo'!F14</f>
        <v>Tifton, Tift</v>
      </c>
      <c r="B3" s="4545"/>
      <c r="C3" s="4545"/>
      <c r="D3" s="4545"/>
      <c r="E3" s="4545"/>
      <c r="F3" s="4545"/>
      <c r="G3" s="4545"/>
      <c r="H3" s="4545"/>
      <c r="I3" s="4545"/>
      <c r="J3" s="4545"/>
    </row>
    <row r="4" spans="1:16" ht="15.75">
      <c r="A4" s="4546" t="s">
        <v>2584</v>
      </c>
      <c r="B4" s="4545"/>
      <c r="C4" s="4545"/>
      <c r="D4" s="4545"/>
      <c r="E4" s="4545"/>
      <c r="F4" s="4545"/>
      <c r="G4" s="4545"/>
      <c r="H4" s="4545"/>
      <c r="I4" s="4545"/>
      <c r="J4" s="4545"/>
    </row>
    <row r="5" spans="1:16" ht="5.25" customHeight="1"/>
    <row r="6" spans="1:16" ht="5.25" customHeight="1"/>
    <row r="7" spans="1:16" ht="15.75">
      <c r="A7" s="4547" t="s">
        <v>2585</v>
      </c>
      <c r="B7" s="4547"/>
      <c r="C7" s="4548"/>
      <c r="M7" s="4549"/>
      <c r="N7" s="4549"/>
      <c r="O7" s="4549"/>
      <c r="P7" s="4549"/>
    </row>
    <row r="8" spans="1:16" ht="57" customHeight="1">
      <c r="A8" s="4550" t="s">
        <v>6157</v>
      </c>
      <c r="B8" s="4550"/>
      <c r="C8" s="4550"/>
      <c r="D8" s="4550"/>
      <c r="E8" s="4550"/>
      <c r="F8" s="4550"/>
      <c r="G8" s="4550"/>
      <c r="H8" s="4550"/>
      <c r="I8" s="4550"/>
      <c r="J8" s="4550"/>
      <c r="K8" s="655"/>
    </row>
    <row r="9" spans="1:16" ht="45.75" customHeight="1">
      <c r="A9" s="4550"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0"/>
      <c r="C9" s="4550"/>
      <c r="D9" s="4550"/>
      <c r="E9" s="4550"/>
      <c r="F9" s="4550"/>
      <c r="G9" s="4550"/>
      <c r="H9" s="4550"/>
      <c r="I9" s="4550"/>
      <c r="J9" s="4550"/>
      <c r="K9" s="655"/>
    </row>
    <row r="10" spans="1:16" ht="15.75">
      <c r="A10" s="656" t="s">
        <v>2586</v>
      </c>
    </row>
    <row r="11" spans="1:16" ht="16.5" customHeight="1">
      <c r="A11" s="4550" t="str">
        <f>'Subsidy Layering Memo'!A50</f>
        <v xml:space="preserve">Ownership entity:  (NAME) LP, a Georgia Limited Partnership, will be the ownership entity for the proposed project. </v>
      </c>
      <c r="B11" s="4552"/>
      <c r="C11" s="4552"/>
      <c r="D11" s="4552"/>
      <c r="E11" s="4552"/>
      <c r="F11" s="4552"/>
      <c r="G11" s="4552"/>
      <c r="H11" s="4552"/>
      <c r="I11" s="4552"/>
      <c r="J11" s="4550"/>
    </row>
    <row r="12" spans="1:16" ht="63.75" customHeight="1">
      <c r="A12" s="45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0"/>
      <c r="C12" s="4550"/>
      <c r="D12" s="4550"/>
      <c r="E12" s="4550"/>
      <c r="F12" s="4550"/>
      <c r="G12" s="4550"/>
      <c r="H12" s="4550"/>
      <c r="I12" s="4550"/>
      <c r="J12" s="4550"/>
    </row>
    <row r="13" spans="1:16" ht="48.75" customHeight="1">
      <c r="A13" s="45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0"/>
      <c r="C13" s="4550"/>
      <c r="D13" s="4550"/>
      <c r="E13" s="4550"/>
      <c r="F13" s="4550"/>
      <c r="G13" s="4550"/>
      <c r="H13" s="4550"/>
      <c r="I13" s="4550"/>
      <c r="J13" s="4550"/>
    </row>
    <row r="14" spans="1:16" ht="15.75">
      <c r="A14" s="656" t="s">
        <v>2587</v>
      </c>
      <c r="B14" s="657"/>
    </row>
    <row r="15" spans="1:16">
      <c r="A15" s="654" t="s">
        <v>2588</v>
      </c>
      <c r="D15" s="1588" t="s">
        <v>2589</v>
      </c>
    </row>
    <row r="16" spans="1:16">
      <c r="A16" s="654" t="s">
        <v>2590</v>
      </c>
      <c r="D16" s="1586">
        <f>'Sensitivity Analysis'!C25</f>
        <v>525000</v>
      </c>
    </row>
    <row r="17" spans="1:11">
      <c r="A17" s="658" t="s">
        <v>2591</v>
      </c>
      <c r="D17" s="1587">
        <f>'Sensitivity Analysis'!C13</f>
        <v>46</v>
      </c>
    </row>
    <row r="18" spans="1:11" ht="14.25" customHeight="1"/>
    <row r="19" spans="1:11" ht="15.75">
      <c r="A19" s="656" t="s">
        <v>2592</v>
      </c>
      <c r="B19" s="657"/>
      <c r="C19" s="657"/>
    </row>
    <row r="20" spans="1:11" ht="48.75" customHeight="1">
      <c r="A20" s="45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3"/>
      <c r="C20" s="4553"/>
      <c r="D20" s="4553"/>
      <c r="E20" s="4553"/>
      <c r="F20" s="4553"/>
      <c r="G20" s="4553"/>
      <c r="H20" s="4553"/>
      <c r="I20" s="4553"/>
      <c r="J20" s="4553"/>
    </row>
    <row r="21" spans="1:11" ht="72.75" customHeight="1">
      <c r="A21" s="4550" t="str">
        <f>'Subsidy Layering Memo'!A67</f>
        <v xml:space="preserve"> will make a capital contribution totaling 8708645 via the syndication of the 2021 Federal LIHTC allocation of 1035000 per annum. will make a capital contribution totaling 3917475 via the syndication of the 2021 State LIHTC allocation of 1035000 per annum.</v>
      </c>
      <c r="B21" s="4550"/>
      <c r="C21" s="4550"/>
      <c r="D21" s="4550"/>
      <c r="E21" s="4550"/>
      <c r="F21" s="4550"/>
      <c r="G21" s="4550"/>
      <c r="H21" s="4550"/>
      <c r="I21" s="4550"/>
      <c r="J21" s="4550"/>
    </row>
    <row r="22" spans="1:11" ht="43.5" customHeight="1">
      <c r="A22" s="4555" t="str">
        <f>'Subsidy Layering Memo'!A68</f>
        <v xml:space="preserve">The total equity price per credit will be 1.22 (0.85 Federal tax credit and 0.37 State tax credit) for a (X%) ownership interest of the Federal Credits and a (X%) ownership interest of the State Credits. </v>
      </c>
      <c r="B22" s="4555"/>
      <c r="C22" s="4555"/>
      <c r="D22" s="4555"/>
      <c r="E22" s="4555"/>
      <c r="F22" s="4555"/>
      <c r="G22" s="4555"/>
      <c r="H22" s="4555"/>
      <c r="I22" s="4555"/>
      <c r="J22" s="4555"/>
    </row>
    <row r="23" spans="1:11" ht="15.75">
      <c r="A23" s="656" t="s">
        <v>6158</v>
      </c>
      <c r="B23" s="657"/>
      <c r="C23" s="657"/>
      <c r="D23" s="657"/>
      <c r="E23" s="657"/>
      <c r="F23" s="657"/>
    </row>
    <row r="24" spans="1:11" ht="102.75" customHeight="1">
      <c r="A24" s="45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4"/>
      <c r="C24" s="4554"/>
      <c r="D24" s="4554"/>
      <c r="E24" s="4554"/>
      <c r="F24" s="4554"/>
      <c r="G24" s="4554"/>
      <c r="H24" s="4554"/>
      <c r="I24" s="4554"/>
      <c r="J24" s="4554"/>
      <c r="K24" s="1293"/>
    </row>
    <row r="25" spans="1:11" ht="15" customHeight="1">
      <c r="A25" s="4551"/>
      <c r="B25" s="4551"/>
      <c r="C25" s="4551"/>
      <c r="D25" s="4551"/>
      <c r="E25" s="4551"/>
      <c r="F25" s="4551"/>
      <c r="G25" s="4551"/>
      <c r="H25" s="4551"/>
      <c r="I25" s="4551"/>
      <c r="J25" s="4551"/>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Magnolia Villas</v>
      </c>
    </row>
    <row r="13" spans="1:10" ht="15">
      <c r="A13" s="664"/>
      <c r="D13" s="663" t="s">
        <v>2606</v>
      </c>
      <c r="F13" s="1585" t="str">
        <f>'Sensitivity Analysis'!E8</f>
        <v>2022-0</v>
      </c>
    </row>
    <row r="14" spans="1:10" ht="15">
      <c r="A14" s="664"/>
      <c r="D14" s="663" t="s">
        <v>2607</v>
      </c>
      <c r="F14" s="1585" t="str">
        <f>'Sensitivity Analysis'!H8</f>
        <v>Tifton, Tift</v>
      </c>
    </row>
    <row r="15" spans="1:10" ht="15">
      <c r="A15" s="664"/>
      <c r="D15" s="663" t="s">
        <v>2948</v>
      </c>
      <c r="F15" s="4567">
        <f>'Sensitivity Analysis'!$C$25</f>
        <v>525000</v>
      </c>
      <c r="G15" s="4567"/>
      <c r="H15" s="4567"/>
    </row>
    <row r="16" spans="1:10" ht="15">
      <c r="A16" s="664"/>
      <c r="D16" s="666" t="s">
        <v>2608</v>
      </c>
      <c r="F16" s="667">
        <f>'Sensitivity Analysis'!C13</f>
        <v>46</v>
      </c>
      <c r="G16" s="668" t="s">
        <v>2949</v>
      </c>
      <c r="H16" s="1241">
        <f>'Sensitivity Analysis'!E13</f>
        <v>46</v>
      </c>
    </row>
    <row r="17" spans="1:18" ht="15">
      <c r="A17" s="664"/>
      <c r="D17" s="666" t="s">
        <v>2577</v>
      </c>
      <c r="F17" s="667" t="e">
        <f>'Sensitivity Analysis'!C14</f>
        <v>#REF!</v>
      </c>
    </row>
    <row r="18" spans="1:18" ht="15">
      <c r="A18" s="664"/>
      <c r="D18" s="666" t="s">
        <v>2953</v>
      </c>
      <c r="F18" s="1585" t="str">
        <f>'Sensitivity Analysis'!H15</f>
        <v>Rural</v>
      </c>
    </row>
    <row r="19" spans="1:18" ht="15">
      <c r="A19" s="664"/>
      <c r="D19" s="666" t="s">
        <v>2950</v>
      </c>
      <c r="F19" s="1585" t="str">
        <f>'Sensitivity Analysis'!E16</f>
        <v>No</v>
      </c>
    </row>
    <row r="20" spans="1:18" ht="15">
      <c r="A20" s="664"/>
      <c r="D20" s="666"/>
    </row>
    <row r="21" spans="1:18" ht="15">
      <c r="A21" s="669" t="s">
        <v>6160</v>
      </c>
    </row>
    <row r="22" spans="1:18" ht="111.75" customHeight="1">
      <c r="A22" s="4557" t="s">
        <v>3101</v>
      </c>
      <c r="B22" s="4557"/>
      <c r="C22" s="4557"/>
      <c r="D22" s="4557"/>
      <c r="E22" s="4557"/>
      <c r="F22" s="4557"/>
      <c r="G22" s="4557"/>
      <c r="H22" s="4557"/>
      <c r="I22" s="4557"/>
      <c r="J22" s="4557"/>
      <c r="K22" s="4556" t="s">
        <v>3901</v>
      </c>
      <c r="L22" s="4556"/>
      <c r="M22" s="4556"/>
      <c r="N22" s="4556"/>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8"/>
      <c r="B24" s="4558"/>
      <c r="C24" s="4558"/>
      <c r="D24" s="4558"/>
      <c r="E24" s="4558"/>
      <c r="F24" s="4558"/>
      <c r="G24" s="4558"/>
      <c r="H24" s="4558"/>
      <c r="I24" s="4558"/>
      <c r="J24" s="4558"/>
    </row>
    <row r="25" spans="1:18" ht="10.5" hidden="1" customHeight="1">
      <c r="A25" s="4555"/>
      <c r="B25" s="4555"/>
      <c r="C25" s="4555"/>
      <c r="D25" s="4555"/>
      <c r="E25" s="4555"/>
      <c r="F25" s="4555"/>
      <c r="G25" s="4555"/>
      <c r="H25" s="4555"/>
      <c r="I25" s="4555"/>
      <c r="J25" s="4555"/>
    </row>
    <row r="26" spans="1:18" ht="15">
      <c r="A26" s="669" t="s">
        <v>6159</v>
      </c>
    </row>
    <row r="27" spans="1:18" ht="14.25" customHeight="1">
      <c r="A27" s="4559" t="s">
        <v>6161</v>
      </c>
      <c r="B27" s="4559"/>
      <c r="C27" s="4559"/>
      <c r="D27" s="4559"/>
      <c r="E27" s="4559"/>
      <c r="F27" s="4559"/>
      <c r="G27" s="4559"/>
      <c r="H27" s="4559"/>
      <c r="I27" s="4559"/>
      <c r="J27" s="4559"/>
    </row>
    <row r="28" spans="1:18" ht="14.25" customHeight="1">
      <c r="A28" s="4559"/>
      <c r="B28" s="4559"/>
      <c r="C28" s="4559"/>
      <c r="D28" s="4559"/>
      <c r="E28" s="4559"/>
      <c r="F28" s="4559"/>
      <c r="G28" s="4559"/>
      <c r="H28" s="4559"/>
      <c r="I28" s="4559"/>
      <c r="J28" s="4559"/>
    </row>
    <row r="29" spans="1:18" ht="6.75" customHeight="1">
      <c r="A29" s="4559"/>
      <c r="B29" s="4559"/>
      <c r="C29" s="4559"/>
      <c r="D29" s="4559"/>
      <c r="E29" s="4559"/>
      <c r="F29" s="4559"/>
      <c r="G29" s="4559"/>
      <c r="H29" s="4559"/>
      <c r="I29" s="4559"/>
      <c r="J29" s="4559"/>
    </row>
    <row r="30" spans="1:18" ht="21.75" customHeight="1">
      <c r="A30" s="4559"/>
      <c r="B30" s="4559"/>
      <c r="C30" s="4559"/>
      <c r="D30" s="4559"/>
      <c r="E30" s="4559"/>
      <c r="F30" s="4559"/>
      <c r="G30" s="4559"/>
      <c r="H30" s="4559"/>
      <c r="I30" s="4559"/>
      <c r="J30" s="4559"/>
    </row>
    <row r="31" spans="1:18" ht="20.25" customHeight="1">
      <c r="A31" s="4559"/>
      <c r="B31" s="4559"/>
      <c r="C31" s="4559"/>
      <c r="D31" s="4559"/>
      <c r="E31" s="4559"/>
      <c r="F31" s="4559"/>
      <c r="G31" s="4559"/>
      <c r="H31" s="4559"/>
      <c r="I31" s="4559"/>
      <c r="J31" s="4559"/>
    </row>
    <row r="32" spans="1:18" ht="54.75" customHeight="1">
      <c r="A32" s="4559"/>
      <c r="B32" s="4559"/>
      <c r="C32" s="4559"/>
      <c r="D32" s="4559"/>
      <c r="E32" s="4559"/>
      <c r="F32" s="4559"/>
      <c r="G32" s="4559"/>
      <c r="H32" s="4559"/>
      <c r="I32" s="4559"/>
      <c r="J32" s="4559"/>
    </row>
    <row r="33" spans="1:10" ht="0.75" hidden="1" customHeight="1">
      <c r="A33" s="4559"/>
      <c r="B33" s="4559"/>
      <c r="C33" s="4559"/>
      <c r="D33" s="4559"/>
      <c r="E33" s="4559"/>
      <c r="F33" s="4559"/>
      <c r="G33" s="4559"/>
      <c r="H33" s="4559"/>
      <c r="I33" s="4559"/>
      <c r="J33" s="4559"/>
    </row>
    <row r="34" spans="1:10" ht="3.75" hidden="1" customHeight="1">
      <c r="A34" s="4559"/>
      <c r="B34" s="4559"/>
      <c r="C34" s="4559"/>
      <c r="D34" s="4559"/>
      <c r="E34" s="4559"/>
      <c r="F34" s="4559"/>
      <c r="G34" s="4559"/>
      <c r="H34" s="4559"/>
      <c r="I34" s="4559"/>
      <c r="J34" s="4559"/>
    </row>
    <row r="35" spans="1:10" ht="5.25" customHeight="1">
      <c r="A35" s="1581"/>
      <c r="B35" s="1581"/>
      <c r="C35" s="1581"/>
      <c r="D35" s="1581"/>
      <c r="E35" s="1581"/>
      <c r="F35" s="1581"/>
      <c r="G35" s="1581"/>
      <c r="H35" s="1581"/>
      <c r="I35" s="1581"/>
      <c r="J35" s="1581"/>
    </row>
    <row r="36" spans="1:10" ht="19.5" customHeight="1">
      <c r="A36" s="4558" t="s">
        <v>6162</v>
      </c>
      <c r="B36" s="4558"/>
      <c r="C36" s="4558"/>
      <c r="D36" s="1579"/>
      <c r="E36" s="1579"/>
      <c r="F36" s="1579"/>
      <c r="G36" s="1579"/>
      <c r="H36" s="1579"/>
      <c r="I36" s="1579"/>
      <c r="J36" s="1579"/>
    </row>
    <row r="37" spans="1:10" ht="22.5" customHeight="1">
      <c r="A37" s="4555" t="s">
        <v>1615</v>
      </c>
      <c r="B37" s="4555"/>
      <c r="C37" s="4555"/>
      <c r="D37" s="4555"/>
      <c r="E37" s="4555"/>
      <c r="F37" s="4555"/>
      <c r="G37" s="4555"/>
      <c r="H37" s="4555"/>
      <c r="I37" s="4555"/>
      <c r="J37" s="4555"/>
    </row>
    <row r="38" spans="1:10" ht="22.5" customHeight="1">
      <c r="A38" s="4555" t="s">
        <v>1616</v>
      </c>
      <c r="B38" s="4555"/>
      <c r="C38" s="4555"/>
      <c r="D38" s="4555"/>
      <c r="E38" s="4555"/>
      <c r="F38" s="4555"/>
      <c r="G38" s="4555"/>
      <c r="H38" s="4555"/>
      <c r="I38" s="4555"/>
      <c r="J38" s="4555"/>
    </row>
    <row r="39" spans="1:10" ht="22.5" customHeight="1">
      <c r="A39" s="4555" t="s">
        <v>1617</v>
      </c>
      <c r="B39" s="4555"/>
      <c r="C39" s="4555"/>
      <c r="D39" s="4555"/>
      <c r="E39" s="4555"/>
      <c r="F39" s="4555"/>
      <c r="G39" s="4555"/>
      <c r="H39" s="4555"/>
      <c r="I39" s="4555"/>
      <c r="J39" s="4555"/>
    </row>
    <row r="40" spans="1:10" ht="22.5" customHeight="1">
      <c r="A40" s="4555" t="s">
        <v>2183</v>
      </c>
      <c r="B40" s="4555"/>
      <c r="C40" s="4555"/>
      <c r="D40" s="4555"/>
      <c r="E40" s="4555"/>
      <c r="F40" s="4555"/>
      <c r="G40" s="4555"/>
      <c r="H40" s="4555"/>
      <c r="I40" s="4555"/>
      <c r="J40" s="4555"/>
    </row>
    <row r="41" spans="1:10" ht="22.5" customHeight="1">
      <c r="A41" s="4555" t="s">
        <v>1449</v>
      </c>
      <c r="B41" s="4555"/>
      <c r="C41" s="4555"/>
      <c r="D41" s="4555"/>
      <c r="E41" s="4555"/>
      <c r="F41" s="4555"/>
      <c r="G41" s="4555"/>
      <c r="H41" s="4555"/>
      <c r="I41" s="4555"/>
      <c r="J41" s="4555"/>
    </row>
    <row r="42" spans="1:10" ht="22.5" customHeight="1">
      <c r="A42" s="4555" t="s">
        <v>1450</v>
      </c>
      <c r="B42" s="4555"/>
      <c r="C42" s="4555"/>
      <c r="D42" s="4555"/>
      <c r="E42" s="4555"/>
      <c r="F42" s="4555"/>
      <c r="G42" s="4555"/>
      <c r="H42" s="4555"/>
      <c r="I42" s="4555"/>
      <c r="J42" s="4555"/>
    </row>
    <row r="43" spans="1:10" ht="22.5" customHeight="1">
      <c r="A43" s="4555" t="s">
        <v>93</v>
      </c>
      <c r="B43" s="4555"/>
      <c r="C43" s="4555"/>
      <c r="D43" s="4555"/>
      <c r="E43" s="4555"/>
      <c r="F43" s="4555"/>
      <c r="G43" s="4555"/>
      <c r="H43" s="4555"/>
      <c r="I43" s="4555"/>
      <c r="J43" s="4555"/>
    </row>
    <row r="44" spans="1:10" ht="22.5" customHeight="1">
      <c r="A44" s="4555" t="s">
        <v>481</v>
      </c>
      <c r="B44" s="4555"/>
      <c r="C44" s="4555"/>
      <c r="D44" s="4555"/>
      <c r="E44" s="4555"/>
      <c r="F44" s="4555"/>
      <c r="G44" s="4555"/>
      <c r="H44" s="4555"/>
      <c r="I44" s="4555"/>
      <c r="J44" s="4555"/>
    </row>
    <row r="45" spans="1:10" ht="2.25" customHeight="1">
      <c r="A45" s="1579"/>
      <c r="B45" s="1579"/>
      <c r="C45" s="1579"/>
      <c r="D45" s="1579"/>
      <c r="E45" s="1579"/>
      <c r="F45" s="1579"/>
      <c r="G45" s="1579"/>
      <c r="H45" s="1579"/>
      <c r="I45" s="1579"/>
      <c r="J45" s="1579"/>
    </row>
    <row r="46" spans="1:10" ht="15">
      <c r="A46" s="669" t="s">
        <v>2609</v>
      </c>
    </row>
    <row r="47" spans="1:10" ht="135" customHeight="1">
      <c r="A47" s="4555" t="s">
        <v>6163</v>
      </c>
      <c r="B47" s="4555"/>
      <c r="C47" s="4555"/>
      <c r="D47" s="4555"/>
      <c r="E47" s="4555"/>
      <c r="F47" s="4555"/>
      <c r="G47" s="4555"/>
      <c r="H47" s="4555"/>
      <c r="I47" s="4555"/>
      <c r="J47" s="4555"/>
    </row>
    <row r="48" spans="1:10" ht="6" customHeight="1">
      <c r="A48" s="1580"/>
      <c r="B48" s="1580"/>
      <c r="C48" s="1580"/>
      <c r="D48" s="1580"/>
      <c r="E48" s="1580"/>
      <c r="F48" s="1580"/>
      <c r="G48" s="1580"/>
      <c r="H48" s="1580"/>
      <c r="I48" s="1580"/>
      <c r="J48" s="1580"/>
    </row>
    <row r="49" spans="1:12" ht="15">
      <c r="A49" s="669" t="s">
        <v>2610</v>
      </c>
    </row>
    <row r="50" spans="1:12" ht="33" customHeight="1">
      <c r="A50" s="4550" t="s">
        <v>3454</v>
      </c>
      <c r="B50" s="4552"/>
      <c r="C50" s="4552"/>
      <c r="D50" s="4552"/>
      <c r="E50" s="4552"/>
      <c r="F50" s="4552"/>
      <c r="G50" s="4552"/>
      <c r="H50" s="4552"/>
      <c r="I50" s="4552"/>
      <c r="J50" s="4550"/>
    </row>
    <row r="51" spans="1:12" ht="3" customHeight="1"/>
    <row r="52" spans="1:12" ht="72.75" customHeight="1">
      <c r="A52" s="4550" t="s">
        <v>3455</v>
      </c>
      <c r="B52" s="4550"/>
      <c r="C52" s="4550"/>
      <c r="D52" s="4550"/>
      <c r="E52" s="4550"/>
      <c r="F52" s="4550"/>
      <c r="G52" s="4550"/>
      <c r="H52" s="4550"/>
      <c r="I52" s="4550"/>
      <c r="J52" s="4550"/>
    </row>
    <row r="53" spans="1:12" ht="3" customHeight="1">
      <c r="A53" s="1579"/>
      <c r="B53" s="1579"/>
      <c r="C53" s="1579"/>
      <c r="D53" s="1579"/>
      <c r="E53" s="1579"/>
      <c r="F53" s="1579"/>
      <c r="G53" s="1579"/>
      <c r="H53" s="1579"/>
      <c r="I53" s="1579"/>
      <c r="J53" s="1579"/>
    </row>
    <row r="54" spans="1:12" ht="56.25" customHeight="1">
      <c r="A54" s="4550" t="s">
        <v>3456</v>
      </c>
      <c r="B54" s="4550"/>
      <c r="C54" s="4550"/>
      <c r="D54" s="4550"/>
      <c r="E54" s="4550"/>
      <c r="F54" s="4550"/>
      <c r="G54" s="4550"/>
      <c r="H54" s="4550"/>
      <c r="I54" s="4550"/>
      <c r="J54" s="4550"/>
    </row>
    <row r="55" spans="1:12" ht="3" customHeight="1">
      <c r="A55" s="1579"/>
      <c r="B55" s="1579"/>
      <c r="C55" s="1579"/>
      <c r="D55" s="1579"/>
      <c r="E55" s="1579"/>
      <c r="F55" s="1579"/>
      <c r="G55" s="1579"/>
      <c r="H55" s="1579"/>
      <c r="I55" s="1579"/>
      <c r="J55" s="1579"/>
    </row>
    <row r="56" spans="1:12" ht="49.5" customHeight="1">
      <c r="A56" s="4550" t="s">
        <v>3457</v>
      </c>
      <c r="B56" s="4550"/>
      <c r="C56" s="4550"/>
      <c r="D56" s="4550"/>
      <c r="E56" s="4550"/>
      <c r="F56" s="4550"/>
      <c r="G56" s="4550"/>
      <c r="H56" s="4550"/>
      <c r="I56" s="4550"/>
      <c r="J56" s="1579"/>
    </row>
    <row r="57" spans="1:12" ht="3" customHeight="1">
      <c r="A57" s="1579"/>
      <c r="B57" s="1579"/>
      <c r="C57" s="1579"/>
      <c r="D57" s="1579"/>
      <c r="E57" s="1579"/>
      <c r="F57" s="1579"/>
      <c r="G57" s="1579"/>
      <c r="H57" s="1579"/>
      <c r="I57" s="1579"/>
      <c r="J57" s="1579"/>
    </row>
    <row r="58" spans="1:12" ht="54.75" customHeight="1">
      <c r="A58" s="4572" t="s">
        <v>2958</v>
      </c>
      <c r="B58" s="4563"/>
      <c r="C58" s="4563"/>
      <c r="D58" s="4563"/>
      <c r="E58" s="4563"/>
      <c r="F58" s="4563"/>
      <c r="G58" s="4563"/>
      <c r="H58" s="4563"/>
      <c r="I58" s="4563"/>
      <c r="J58" s="1579"/>
    </row>
    <row r="59" spans="1:12" ht="3" customHeight="1">
      <c r="A59" s="1579"/>
      <c r="B59" s="1579"/>
      <c r="C59" s="1579"/>
      <c r="D59" s="1579"/>
      <c r="E59" s="1579"/>
      <c r="F59" s="1579"/>
      <c r="G59" s="1579"/>
      <c r="H59" s="1579"/>
      <c r="I59" s="1579"/>
      <c r="J59" s="1579"/>
    </row>
    <row r="60" spans="1:12" ht="62.25" customHeight="1">
      <c r="A60" s="4563" t="s">
        <v>3458</v>
      </c>
      <c r="B60" s="4563"/>
      <c r="C60" s="4563"/>
      <c r="D60" s="4563"/>
      <c r="E60" s="4563"/>
      <c r="F60" s="4563"/>
      <c r="G60" s="4563"/>
      <c r="H60" s="4563"/>
      <c r="I60" s="4563"/>
      <c r="J60" s="4563"/>
    </row>
    <row r="61" spans="1:12" ht="3" customHeight="1"/>
    <row r="62" spans="1:12" ht="73.5" customHeight="1">
      <c r="A62" s="4550" t="s">
        <v>3459</v>
      </c>
      <c r="B62" s="4550"/>
      <c r="C62" s="4550"/>
      <c r="D62" s="4550"/>
      <c r="E62" s="4550"/>
      <c r="F62" s="4550"/>
      <c r="G62" s="4550"/>
      <c r="H62" s="4550"/>
      <c r="I62" s="4550"/>
      <c r="J62" s="4550"/>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57" t="s">
        <v>2612</v>
      </c>
      <c r="B65" s="4557"/>
      <c r="C65" s="4557"/>
      <c r="D65" s="4557"/>
      <c r="E65" s="4557"/>
      <c r="F65" s="4557"/>
      <c r="G65" s="4557"/>
      <c r="H65" s="4557"/>
      <c r="I65" s="4557"/>
      <c r="J65" s="4557"/>
      <c r="L65" s="671">
        <f>'Closing term sheet'!C135</f>
        <v>612401.5</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8708645 via the syndication of the 2021 Federal LIHTC allocation of 1035000 per annum. will make a capital contribution totaling 3917475 via the syndication of the 2021 State LIHTC allocation of 1035000 per annum.</v>
      </c>
      <c r="B67" s="4563"/>
      <c r="C67" s="4563"/>
      <c r="D67" s="4563"/>
      <c r="E67" s="4563"/>
      <c r="F67" s="4563"/>
      <c r="G67" s="4563"/>
      <c r="H67" s="4563"/>
      <c r="I67" s="4563"/>
      <c r="J67" s="676"/>
      <c r="L67" s="677">
        <f>'Part II-Sources of Funds'!I51</f>
        <v>8708645</v>
      </c>
      <c r="M67" s="678">
        <f>'Part III-A-Uses of Funds'!$J$191</f>
        <v>1035000</v>
      </c>
      <c r="N67" s="679">
        <f>'Part III-A-Uses of Funds'!N182</f>
        <v>0.85</v>
      </c>
      <c r="O67" s="677">
        <f>'Part II-Sources of Funds'!I52</f>
        <v>3917475</v>
      </c>
      <c r="P67" s="678">
        <f>M67</f>
        <v>1035000</v>
      </c>
      <c r="Q67" s="679">
        <f>'Part III-A-Uses of Funds'!Q182</f>
        <v>0.37</v>
      </c>
    </row>
    <row r="68" spans="1:17" ht="39.75" customHeight="1">
      <c r="A68" s="457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1.22 (0.85 Federal tax credit and 0.37 State tax credit) for a (X%) ownership interest of the Federal Credits and a (X%) ownership interest of the State Credits. </v>
      </c>
      <c r="B68" s="4573"/>
      <c r="C68" s="4573"/>
      <c r="D68" s="4573"/>
      <c r="E68" s="4573"/>
      <c r="F68" s="4573"/>
      <c r="G68" s="4573"/>
      <c r="H68" s="4573"/>
      <c r="I68" s="4573"/>
      <c r="J68" s="676"/>
      <c r="L68" s="1994"/>
      <c r="M68" s="1994"/>
      <c r="N68" s="1995"/>
      <c r="O68" s="1994"/>
      <c r="P68" s="1994"/>
      <c r="Q68" s="1995"/>
    </row>
    <row r="69" spans="1:17" ht="18.75" customHeight="1">
      <c r="A69" s="680" t="s">
        <v>2613</v>
      </c>
    </row>
    <row r="70" spans="1:17" ht="177" customHeight="1">
      <c r="A70" s="4563" t="s">
        <v>6164</v>
      </c>
      <c r="B70" s="4563"/>
      <c r="C70" s="4563"/>
      <c r="D70" s="4563"/>
      <c r="E70" s="4563"/>
      <c r="F70" s="4563"/>
      <c r="G70" s="4563"/>
      <c r="H70" s="4563"/>
      <c r="I70" s="4563"/>
      <c r="J70" s="4563"/>
      <c r="L70" s="681">
        <f>'Part VI-Pro Forma'!K72</f>
        <v>292242.73338731588</v>
      </c>
      <c r="M70" s="4565" t="s">
        <v>3100</v>
      </c>
      <c r="N70" s="4566"/>
    </row>
    <row r="71" spans="1:17" ht="6" customHeight="1">
      <c r="A71" s="669"/>
    </row>
    <row r="72" spans="1:17" ht="15">
      <c r="A72" s="669" t="s">
        <v>2614</v>
      </c>
    </row>
    <row r="73" spans="1:17" ht="72.599999999999994" customHeight="1">
      <c r="A73" s="4563" t="s">
        <v>2615</v>
      </c>
      <c r="B73" s="4563"/>
      <c r="C73" s="4563"/>
      <c r="D73" s="4563"/>
      <c r="E73" s="4563"/>
      <c r="F73" s="4563"/>
      <c r="G73" s="4563"/>
      <c r="H73" s="4563"/>
      <c r="I73" s="4563"/>
      <c r="J73" s="4563"/>
    </row>
    <row r="74" spans="1:17" ht="36" customHeight="1">
      <c r="A74" s="4563" t="s">
        <v>2616</v>
      </c>
      <c r="B74" s="4563"/>
      <c r="C74" s="4563"/>
      <c r="D74" s="4563"/>
      <c r="E74" s="4563"/>
      <c r="F74" s="4563"/>
      <c r="G74" s="4563"/>
      <c r="H74" s="4563"/>
      <c r="I74" s="4563"/>
      <c r="J74" s="4563"/>
    </row>
    <row r="75" spans="1:17" ht="6" customHeight="1">
      <c r="A75" s="669"/>
    </row>
    <row r="76" spans="1:17" ht="15">
      <c r="A76" s="669" t="s">
        <v>2617</v>
      </c>
    </row>
    <row r="77" spans="1:17" ht="105.75" customHeight="1">
      <c r="A77" s="4550" t="s">
        <v>2618</v>
      </c>
      <c r="B77" s="4550"/>
      <c r="C77" s="4550"/>
      <c r="D77" s="4550"/>
      <c r="E77" s="4550"/>
      <c r="F77" s="4550"/>
      <c r="G77" s="4550"/>
      <c r="H77" s="4550"/>
      <c r="I77" s="4550"/>
      <c r="J77" s="4550"/>
    </row>
    <row r="78" spans="1:17" ht="6" customHeight="1">
      <c r="A78" s="669"/>
    </row>
    <row r="79" spans="1:17" ht="15">
      <c r="A79" s="669" t="s">
        <v>2619</v>
      </c>
    </row>
    <row r="80" spans="1:17" ht="66" customHeight="1">
      <c r="A80" s="4550" t="s">
        <v>2620</v>
      </c>
      <c r="B80" s="4550"/>
      <c r="C80" s="4550"/>
      <c r="D80" s="4550"/>
      <c r="E80" s="4550"/>
      <c r="F80" s="4550"/>
      <c r="G80" s="4550"/>
      <c r="H80" s="4550"/>
      <c r="I80" s="4550"/>
      <c r="J80" s="4550"/>
    </row>
    <row r="81" spans="1:15" s="1581" customFormat="1" ht="6" customHeight="1">
      <c r="A81" s="4550"/>
      <c r="B81" s="4550"/>
      <c r="C81" s="4550"/>
      <c r="D81" s="4550"/>
      <c r="E81" s="4550"/>
      <c r="F81" s="4550"/>
      <c r="G81" s="4550"/>
      <c r="H81" s="4550"/>
      <c r="I81" s="4550"/>
      <c r="J81" s="4550"/>
    </row>
    <row r="82" spans="1:15" ht="16.5" customHeight="1">
      <c r="A82" s="1583" t="s">
        <v>2621</v>
      </c>
      <c r="B82" s="668"/>
      <c r="C82" s="668"/>
      <c r="D82" s="1585"/>
      <c r="E82" s="668"/>
      <c r="F82" s="668"/>
      <c r="G82" s="668"/>
      <c r="H82" s="668"/>
      <c r="I82" s="668"/>
      <c r="J82" s="682"/>
    </row>
    <row r="83" spans="1:15" s="1581" customFormat="1" ht="63" customHeight="1">
      <c r="A83" s="4550" t="s">
        <v>3661</v>
      </c>
      <c r="B83" s="4550"/>
      <c r="C83" s="4550"/>
      <c r="D83" s="4550"/>
      <c r="E83" s="4550"/>
      <c r="F83" s="4550"/>
      <c r="G83" s="4550"/>
      <c r="H83" s="4550"/>
      <c r="I83" s="4550"/>
      <c r="J83" s="4550"/>
    </row>
    <row r="84" spans="1:15" s="1581" customFormat="1" ht="6" customHeight="1">
      <c r="A84" s="1579"/>
      <c r="B84" s="1579"/>
      <c r="C84" s="1579"/>
      <c r="D84" s="1579"/>
      <c r="E84" s="1579"/>
      <c r="F84" s="1579"/>
      <c r="G84" s="1579"/>
      <c r="H84" s="1579"/>
      <c r="I84" s="1579"/>
      <c r="J84" s="1579"/>
    </row>
    <row r="85" spans="1:15" ht="16.5" customHeight="1">
      <c r="A85" s="4561" t="s">
        <v>2622</v>
      </c>
      <c r="B85" s="4562"/>
      <c r="C85" s="4562"/>
      <c r="D85" s="668"/>
      <c r="E85" s="668"/>
      <c r="F85" s="668"/>
      <c r="G85" s="668"/>
      <c r="H85" s="668"/>
      <c r="I85" s="668"/>
      <c r="J85" s="682"/>
    </row>
    <row r="86" spans="1:15" ht="41.25" customHeight="1">
      <c r="A86" s="4563" t="s">
        <v>6165</v>
      </c>
      <c r="B86" s="4564"/>
      <c r="C86" s="4564"/>
      <c r="D86" s="4564"/>
      <c r="E86" s="4564"/>
      <c r="F86" s="4564"/>
      <c r="G86" s="4564"/>
      <c r="H86" s="4564"/>
      <c r="I86" s="4564"/>
      <c r="J86" s="4564"/>
    </row>
    <row r="87" spans="1:15" ht="6" customHeight="1">
      <c r="A87" s="683"/>
      <c r="B87" s="668"/>
      <c r="C87" s="668"/>
      <c r="D87" s="668"/>
      <c r="E87" s="668"/>
      <c r="F87" s="668"/>
      <c r="G87" s="668"/>
      <c r="H87" s="668"/>
      <c r="I87" s="668"/>
      <c r="J87" s="682"/>
    </row>
    <row r="88" spans="1:15" ht="15">
      <c r="A88" s="669" t="s">
        <v>2623</v>
      </c>
    </row>
    <row r="89" spans="1:15" ht="124.15" customHeight="1">
      <c r="A89" s="4563" t="s">
        <v>2624</v>
      </c>
      <c r="B89" s="4563"/>
      <c r="C89" s="4563"/>
      <c r="D89" s="4563"/>
      <c r="E89" s="4563"/>
      <c r="F89" s="4563"/>
      <c r="G89" s="4563"/>
      <c r="H89" s="4563"/>
      <c r="I89" s="4563"/>
      <c r="J89" s="4563"/>
      <c r="L89" s="4556" t="s">
        <v>2625</v>
      </c>
      <c r="M89" s="4556"/>
      <c r="N89" s="4556"/>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3" t="s">
        <v>2627</v>
      </c>
      <c r="B92" s="4563"/>
      <c r="C92" s="4563"/>
      <c r="D92" s="4563"/>
      <c r="E92" s="4563"/>
      <c r="F92" s="4563"/>
      <c r="G92" s="4563"/>
      <c r="H92" s="4563"/>
      <c r="I92" s="4563"/>
      <c r="J92" s="4563"/>
      <c r="L92" s="4556" t="s">
        <v>2628</v>
      </c>
      <c r="M92" s="4556"/>
      <c r="N92" s="684" t="e">
        <f>'After-Tax Analysis'!G66</f>
        <v>#VALUE!</v>
      </c>
      <c r="O92" s="685" t="s">
        <v>2629</v>
      </c>
    </row>
    <row r="93" spans="1:15" ht="6" customHeight="1">
      <c r="A93" s="669"/>
    </row>
    <row r="94" spans="1:15" ht="15">
      <c r="A94" s="669" t="s">
        <v>2630</v>
      </c>
    </row>
    <row r="95" spans="1:15" ht="118.5" customHeight="1">
      <c r="A95" s="4550" t="s">
        <v>2631</v>
      </c>
      <c r="B95" s="4550"/>
      <c r="C95" s="4550"/>
      <c r="D95" s="4550"/>
      <c r="E95" s="4550"/>
      <c r="F95" s="4550"/>
      <c r="G95" s="4550"/>
      <c r="H95" s="4550"/>
      <c r="I95" s="4550"/>
      <c r="J95" s="4550"/>
    </row>
    <row r="96" spans="1:15" ht="20.25" customHeight="1">
      <c r="A96" s="4552" t="s">
        <v>2632</v>
      </c>
      <c r="B96" s="4552"/>
      <c r="C96" s="4552"/>
      <c r="D96" s="4550"/>
      <c r="E96" s="1579"/>
      <c r="F96" s="1579"/>
      <c r="G96" s="1579"/>
      <c r="H96" s="1579"/>
      <c r="I96" s="1579"/>
      <c r="J96" s="1579"/>
    </row>
    <row r="97" spans="1:14" ht="109.5" customHeight="1">
      <c r="A97" s="4570" t="s">
        <v>2633</v>
      </c>
      <c r="B97" s="4571"/>
      <c r="C97" s="4571"/>
      <c r="D97" s="4571"/>
      <c r="E97" s="4571"/>
      <c r="F97" s="4571"/>
      <c r="G97" s="4571"/>
      <c r="H97" s="4571"/>
      <c r="I97" s="4571"/>
      <c r="J97" s="4571"/>
    </row>
    <row r="98" spans="1:14" ht="11.25" customHeight="1">
      <c r="A98" s="669"/>
    </row>
    <row r="99" spans="1:14" ht="15">
      <c r="A99" s="669" t="s">
        <v>2634</v>
      </c>
    </row>
    <row r="100" spans="1:14" ht="110.45" customHeight="1">
      <c r="A100" s="4557" t="s">
        <v>2635</v>
      </c>
      <c r="B100" s="4557"/>
      <c r="C100" s="4557"/>
      <c r="D100" s="4557"/>
      <c r="E100" s="4557"/>
      <c r="F100" s="4557"/>
      <c r="G100" s="4557"/>
      <c r="H100" s="4557"/>
      <c r="I100" s="4557"/>
      <c r="J100" s="4557"/>
      <c r="L100" s="1245">
        <f>'Part VI-Pro Forma'!K72</f>
        <v>292242.73338731588</v>
      </c>
      <c r="M100" s="4560" t="s">
        <v>2636</v>
      </c>
      <c r="N100" s="4560"/>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2" t="s">
        <v>2637</v>
      </c>
      <c r="B104" s="4552"/>
      <c r="C104" s="4552"/>
      <c r="D104" s="1579"/>
      <c r="E104" s="1579"/>
      <c r="F104" s="1579"/>
      <c r="G104" s="1579"/>
      <c r="H104" s="1579"/>
      <c r="I104" s="1579"/>
      <c r="J104" s="682"/>
    </row>
    <row r="105" spans="1:14" ht="37.5" customHeight="1">
      <c r="A105" s="4563" t="s">
        <v>2638</v>
      </c>
      <c r="B105" s="4563"/>
      <c r="C105" s="4563"/>
      <c r="D105" s="4563"/>
      <c r="E105" s="4563"/>
      <c r="F105" s="4563"/>
      <c r="G105" s="4563"/>
      <c r="H105" s="4563"/>
      <c r="I105" s="4563"/>
      <c r="J105" s="4563"/>
    </row>
    <row r="106" spans="1:14" ht="6" customHeight="1">
      <c r="A106" s="669"/>
    </row>
    <row r="107" spans="1:14" ht="15">
      <c r="A107" s="669" t="s">
        <v>2639</v>
      </c>
    </row>
    <row r="108" spans="1:14" ht="43.5" customHeight="1">
      <c r="A108" s="4550" t="s">
        <v>2640</v>
      </c>
      <c r="B108" s="4550"/>
      <c r="C108" s="4550"/>
      <c r="D108" s="4550"/>
      <c r="E108" s="4550"/>
      <c r="F108" s="4550"/>
      <c r="G108" s="4550"/>
      <c r="H108" s="4550"/>
      <c r="I108" s="4550"/>
      <c r="J108" s="4550"/>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68" t="s">
        <v>6067</v>
      </c>
      <c r="B120" s="4568"/>
      <c r="C120" s="4568"/>
      <c r="D120" s="4568"/>
      <c r="E120" s="4569"/>
      <c r="F120" s="1895" t="s">
        <v>6068</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Magnolia Villas</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4"/>
      <c r="J7" s="4574"/>
      <c r="K7" s="4574"/>
      <c r="L7" s="654"/>
      <c r="M7" s="654"/>
    </row>
    <row r="8" spans="1:14" ht="15.75">
      <c r="A8" s="657" t="s">
        <v>2649</v>
      </c>
      <c r="B8" s="657"/>
      <c r="C8" s="4574" t="str">
        <f>'Part I-Project Identification'!F29</f>
        <v>Magnolia Villas</v>
      </c>
      <c r="D8" s="4574"/>
      <c r="E8" s="1294" t="str">
        <f>'Part I-Project Identification'!O7</f>
        <v>2022-0</v>
      </c>
      <c r="F8" s="693" t="s">
        <v>2650</v>
      </c>
      <c r="G8" s="692"/>
      <c r="H8" s="4574" t="str">
        <f>CONCATENATE('Part I-Project Identification'!F30,", ",'Part I-Project Identification'!J30)</f>
        <v>Tifton, Tift</v>
      </c>
      <c r="I8" s="4574"/>
      <c r="J8" s="4574"/>
      <c r="K8" s="4574"/>
      <c r="L8" s="654"/>
      <c r="M8" s="694"/>
    </row>
    <row r="9" spans="1:14" ht="15.75">
      <c r="A9" s="657" t="s">
        <v>2652</v>
      </c>
      <c r="B9" s="657"/>
      <c r="C9" s="4574" t="s">
        <v>1647</v>
      </c>
      <c r="D9" s="4574"/>
      <c r="E9" s="692"/>
      <c r="F9" s="693" t="s">
        <v>2653</v>
      </c>
      <c r="G9" s="692"/>
      <c r="H9" s="4574" t="str">
        <f>'Part II-Development Team'!H6</f>
        <v>(Enter name as it will appear on all legal documents)</v>
      </c>
      <c r="I9" s="4574"/>
      <c r="J9" s="4574"/>
      <c r="K9" s="4574"/>
      <c r="L9" s="4574"/>
      <c r="M9" s="694"/>
    </row>
    <row r="10" spans="1:14" ht="15.75">
      <c r="A10" s="657" t="s">
        <v>2655</v>
      </c>
      <c r="B10" s="654"/>
      <c r="C10" s="1294">
        <f>'Part II-Development Team'!H15</f>
        <v>0</v>
      </c>
      <c r="D10" s="692"/>
      <c r="E10" s="692"/>
      <c r="F10" s="693" t="s">
        <v>3134</v>
      </c>
      <c r="G10" s="692"/>
      <c r="H10" s="4574">
        <f>'Part II-Development Team'!H34</f>
        <v>0</v>
      </c>
      <c r="I10" s="4574"/>
      <c r="J10" s="4574"/>
      <c r="K10" s="4574">
        <f>'Part II-Development Team'!H40</f>
        <v>0</v>
      </c>
      <c r="L10" s="4574"/>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4">
        <f>'Part II-Development Team'!H55</f>
        <v>0</v>
      </c>
      <c r="I11" s="4574"/>
      <c r="J11" s="4574"/>
      <c r="K11" s="4574">
        <f>'Part II-Development Team'!H61</f>
        <v>0</v>
      </c>
      <c r="L11" s="4574"/>
      <c r="M11" s="4574">
        <f>'Part II-Development Team'!H67</f>
        <v>0</v>
      </c>
      <c r="N11" s="4574"/>
    </row>
    <row r="12" spans="1:14" ht="15.75">
      <c r="A12" s="657" t="s">
        <v>2657</v>
      </c>
      <c r="B12" s="654"/>
      <c r="C12" s="1294">
        <f>'Part II-Development Team'!H87</f>
        <v>0</v>
      </c>
      <c r="D12" s="692"/>
      <c r="E12" s="692"/>
      <c r="F12" s="693" t="s">
        <v>2658</v>
      </c>
      <c r="G12" s="692"/>
      <c r="H12" s="4574">
        <f>'Part II-Development Team'!H93</f>
        <v>0</v>
      </c>
      <c r="I12" s="4574"/>
      <c r="J12" s="4574"/>
      <c r="K12" s="4574"/>
      <c r="L12" s="654"/>
      <c r="M12" s="654"/>
    </row>
    <row r="13" spans="1:14" ht="15.75">
      <c r="A13" s="657" t="s">
        <v>2659</v>
      </c>
      <c r="B13" s="693"/>
      <c r="C13" s="653">
        <f>'Part V-Revenues &amp; Expenses'!$P$67</f>
        <v>46</v>
      </c>
      <c r="E13" s="1239">
        <f>'Part V-Revenues &amp; Expenses'!$P$63</f>
        <v>46</v>
      </c>
      <c r="F13" s="693" t="s">
        <v>3453</v>
      </c>
      <c r="G13" s="692"/>
      <c r="H13" s="1295" t="e">
        <f>'Part I-Project Identification'!#REF!</f>
        <v>#REF!</v>
      </c>
      <c r="I13" s="1240"/>
      <c r="J13" s="1240"/>
      <c r="K13" s="1295">
        <f>'Part V-Revenues &amp; Expenses'!K175</f>
        <v>47988</v>
      </c>
      <c r="L13" s="654"/>
      <c r="M13" s="654"/>
    </row>
    <row r="14" spans="1:14" ht="15.75">
      <c r="A14" s="657" t="s">
        <v>2951</v>
      </c>
      <c r="B14" s="654"/>
      <c r="C14" s="1295" t="e">
        <f>'Part I-Project Identification'!#REF!</f>
        <v>#REF!</v>
      </c>
      <c r="D14" s="4574" t="e">
        <f>IF('Part V-Revenues &amp; Expenses'!#REF!=0,"",'Part V-Revenues &amp; Expenses'!#REF!)</f>
        <v>#REF!</v>
      </c>
      <c r="E14" s="4574"/>
      <c r="F14" s="693" t="s">
        <v>2660</v>
      </c>
      <c r="G14" s="692"/>
      <c r="H14" s="4575" t="s">
        <v>3102</v>
      </c>
      <c r="I14" s="4575"/>
      <c r="J14" s="4575"/>
      <c r="K14" s="4575" t="s">
        <v>3102</v>
      </c>
      <c r="L14" s="4575"/>
      <c r="M14" s="654"/>
    </row>
    <row r="15" spans="1:14" ht="15.75">
      <c r="A15" s="657" t="s">
        <v>2661</v>
      </c>
      <c r="B15" s="654"/>
      <c r="C15" s="695" t="s">
        <v>1647</v>
      </c>
      <c r="D15" s="692"/>
      <c r="E15" s="692"/>
      <c r="F15" s="693" t="s">
        <v>2952</v>
      </c>
      <c r="G15" s="692"/>
      <c r="H15" s="1294" t="str">
        <f>'Part I-Project Identification'!K32</f>
        <v>Rural</v>
      </c>
      <c r="I15" s="692"/>
      <c r="J15" s="692"/>
      <c r="K15" s="692"/>
      <c r="L15" s="654"/>
      <c r="M15" s="654"/>
    </row>
    <row r="16" spans="1:14" ht="15.75">
      <c r="A16" s="657" t="s">
        <v>3129</v>
      </c>
      <c r="B16" s="654"/>
      <c r="C16" s="1294" t="str">
        <f>'Part VIII Scoring Criteria'!P41</f>
        <v>Yes</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13171427</v>
      </c>
      <c r="D18" s="1276">
        <f>IF(C18=0,"",$C$29/C18)</f>
        <v>3.985900692461037E-2</v>
      </c>
      <c r="E18" s="692" t="s">
        <v>2955</v>
      </c>
      <c r="F18" s="693" t="s">
        <v>2956</v>
      </c>
      <c r="G18" s="692"/>
      <c r="H18" s="4576">
        <f>'Part III-A-Uses of Funds'!C49</f>
        <v>9323034</v>
      </c>
      <c r="I18" s="4576"/>
      <c r="J18" s="1275">
        <f>IF(H18=0,"",$C$29/H18)</f>
        <v>5.6312140446983246E-2</v>
      </c>
      <c r="K18" s="4574" t="s">
        <v>2957</v>
      </c>
      <c r="L18" s="4574"/>
      <c r="M18" s="654"/>
    </row>
    <row r="19" spans="1:13" ht="15.75">
      <c r="A19" s="657" t="s">
        <v>2662</v>
      </c>
      <c r="B19" s="654"/>
      <c r="C19" s="1296">
        <f>C18/C13</f>
        <v>286335.36956521741</v>
      </c>
      <c r="D19" s="692"/>
      <c r="E19" s="654"/>
      <c r="F19" s="657" t="s">
        <v>2662</v>
      </c>
      <c r="G19" s="654"/>
      <c r="H19" s="4577">
        <f>H18/C13</f>
        <v>202674.65217391305</v>
      </c>
      <c r="I19" s="4577"/>
      <c r="J19" s="654"/>
      <c r="K19" s="654"/>
      <c r="L19" s="654"/>
      <c r="M19" s="654"/>
    </row>
    <row r="20" spans="1:13" ht="15.75">
      <c r="A20" s="657" t="s">
        <v>2663</v>
      </c>
      <c r="B20" s="654"/>
      <c r="C20" s="1298">
        <f>C18/K13</f>
        <v>274.47334750354253</v>
      </c>
      <c r="D20" s="697"/>
      <c r="E20" s="698"/>
      <c r="F20" s="657" t="s">
        <v>2663</v>
      </c>
      <c r="G20" s="654"/>
      <c r="H20" s="4578">
        <f>H18/K13</f>
        <v>194.27844461115279</v>
      </c>
      <c r="I20" s="4577"/>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Sterling Bank</v>
      </c>
      <c r="C25" s="704">
        <f>'Part II-Sources of Funds'!I40</f>
        <v>525000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525000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12626120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525000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3.985900692461037E-2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5.6312140446983246E-2</v>
      </c>
      <c r="D40" s="654"/>
      <c r="E40" s="654"/>
      <c r="F40" s="657"/>
      <c r="G40" s="657" t="s">
        <v>2683</v>
      </c>
      <c r="H40" s="654"/>
      <c r="I40" s="654"/>
      <c r="K40" s="706">
        <f>C30/C18</f>
        <v>0.9585992466875457</v>
      </c>
      <c r="L40" s="654"/>
      <c r="M40" s="654"/>
    </row>
    <row r="46" spans="1:13" ht="15.75">
      <c r="A46" s="717" t="s">
        <v>2684</v>
      </c>
      <c r="B46" s="687"/>
      <c r="C46" s="687"/>
      <c r="D46" s="687"/>
      <c r="E46" s="687"/>
      <c r="F46" s="687"/>
      <c r="G46" s="687"/>
      <c r="H46" s="687"/>
      <c r="I46" s="687"/>
      <c r="J46" s="687"/>
      <c r="K46" s="687"/>
      <c r="L46" s="687"/>
      <c r="M46" s="654"/>
    </row>
    <row r="47" spans="1:13" ht="15.75">
      <c r="A47" s="717" t="str">
        <f>C8</f>
        <v>Magnolia Villas</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79" t="s">
        <v>2687</v>
      </c>
      <c r="L50" s="4580"/>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315540</v>
      </c>
      <c r="D52" s="723"/>
      <c r="E52" s="723">
        <f>$C$52</f>
        <v>315540</v>
      </c>
      <c r="F52" s="723"/>
      <c r="G52" s="723">
        <f>$C$52</f>
        <v>315540</v>
      </c>
      <c r="H52" s="723"/>
      <c r="I52" s="723">
        <f>$C$52</f>
        <v>315540</v>
      </c>
      <c r="J52" s="723"/>
      <c r="K52" s="723">
        <f>$C$52</f>
        <v>315540</v>
      </c>
      <c r="L52" s="724"/>
      <c r="M52" s="27"/>
      <c r="N52" s="27"/>
    </row>
    <row r="53" spans="1:14" s="654" customFormat="1" ht="18.75" customHeight="1">
      <c r="B53" s="722" t="s">
        <v>2691</v>
      </c>
      <c r="C53" s="723">
        <f>'Part VI-Pro Forma'!B16</f>
        <v>6310.8</v>
      </c>
      <c r="D53" s="723"/>
      <c r="E53" s="723">
        <f>$C$53</f>
        <v>6310.8</v>
      </c>
      <c r="F53" s="723"/>
      <c r="G53" s="723">
        <f>$C$53</f>
        <v>6310.8</v>
      </c>
      <c r="H53" s="723"/>
      <c r="I53" s="723">
        <f>$C$53</f>
        <v>6310.8</v>
      </c>
      <c r="J53" s="723"/>
      <c r="K53" s="723">
        <f>$C$53</f>
        <v>6310.8</v>
      </c>
      <c r="L53" s="724"/>
      <c r="M53" s="27"/>
      <c r="N53" s="27"/>
    </row>
    <row r="54" spans="1:14" s="654" customFormat="1" ht="18.75" customHeight="1">
      <c r="B54" s="722" t="s">
        <v>2689</v>
      </c>
      <c r="C54" s="723">
        <f>'Part VI-Pro Forma'!B17</f>
        <v>-22529.556</v>
      </c>
      <c r="D54" s="723"/>
      <c r="E54" s="723">
        <f>-($C$52+E53)*F50</f>
        <v>-32185.08</v>
      </c>
      <c r="F54" s="725"/>
      <c r="G54" s="723">
        <f>-($C$52+G53)*0.07</f>
        <v>-22529.556</v>
      </c>
      <c r="H54" s="723"/>
      <c r="I54" s="723">
        <f>-($C$52+I53)*0.07</f>
        <v>-22529.556</v>
      </c>
      <c r="J54" s="723"/>
      <c r="K54" s="723">
        <f>-($C$52+K53)*L54</f>
        <v>-32185.08</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299321.24400000001</v>
      </c>
      <c r="D56" s="723"/>
      <c r="E56" s="729">
        <f>SUM(E52:E55)</f>
        <v>289665.71999999997</v>
      </c>
      <c r="F56" s="723"/>
      <c r="G56" s="729">
        <f>SUM(G52:G55)</f>
        <v>299321.24400000001</v>
      </c>
      <c r="H56" s="723"/>
      <c r="I56" s="729">
        <f>SUM(I52:I55)</f>
        <v>299321.24400000001</v>
      </c>
      <c r="J56" s="723"/>
      <c r="K56" s="729">
        <f>SUM(K52:K55)</f>
        <v>289665.71999999997</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92100</v>
      </c>
      <c r="D58" s="723"/>
      <c r="E58" s="723">
        <f>$C$58</f>
        <v>92100</v>
      </c>
      <c r="F58" s="723"/>
      <c r="G58" s="723">
        <f>$C$58</f>
        <v>92100</v>
      </c>
      <c r="H58" s="723"/>
      <c r="I58" s="723">
        <f>$C$58</f>
        <v>92100</v>
      </c>
      <c r="J58" s="723"/>
      <c r="K58" s="723">
        <f>$C$58</f>
        <v>92100</v>
      </c>
      <c r="L58" s="724"/>
      <c r="M58" s="27"/>
      <c r="N58" s="27"/>
    </row>
    <row r="59" spans="1:14" s="654" customFormat="1" ht="18.75" customHeight="1">
      <c r="B59" s="722" t="s">
        <v>2694</v>
      </c>
      <c r="C59" s="723">
        <f>+'Part V-Revenues &amp; Expenses'!F247</f>
        <v>33700</v>
      </c>
      <c r="D59" s="723"/>
      <c r="E59" s="723">
        <f>$C$59</f>
        <v>33700</v>
      </c>
      <c r="F59" s="723"/>
      <c r="G59" s="723">
        <f>$C$59</f>
        <v>33700</v>
      </c>
      <c r="H59" s="723"/>
      <c r="I59" s="723">
        <f>$C$59</f>
        <v>33700</v>
      </c>
      <c r="J59" s="723"/>
      <c r="K59" s="723">
        <f>$C$59*(1+$L$59)</f>
        <v>35048</v>
      </c>
      <c r="L59" s="731">
        <v>0.04</v>
      </c>
      <c r="M59" s="27"/>
      <c r="N59" s="27"/>
    </row>
    <row r="60" spans="1:14" s="654" customFormat="1" ht="18.75" customHeight="1">
      <c r="B60" s="722" t="s">
        <v>1298</v>
      </c>
      <c r="C60" s="723">
        <f>+'Part V-Revenues &amp; Expenses'!L241</f>
        <v>20300</v>
      </c>
      <c r="D60" s="723"/>
      <c r="E60" s="723">
        <f>$C$60</f>
        <v>20300</v>
      </c>
      <c r="F60" s="723"/>
      <c r="G60" s="723">
        <f>$C$60</f>
        <v>20300</v>
      </c>
      <c r="H60" s="723"/>
      <c r="I60" s="723">
        <f>$C$60*(1+$J$50)</f>
        <v>20909</v>
      </c>
      <c r="J60" s="725"/>
      <c r="K60" s="723">
        <f>$C$60*(1+$J$50)</f>
        <v>20909</v>
      </c>
      <c r="L60" s="726">
        <v>0.03</v>
      </c>
      <c r="M60" s="27"/>
      <c r="N60" s="27"/>
    </row>
    <row r="61" spans="1:14" s="654" customFormat="1" ht="18.75" customHeight="1">
      <c r="B61" s="722" t="s">
        <v>1299</v>
      </c>
      <c r="C61" s="723">
        <f>+'Part V-Revenues &amp; Expenses'!L247</f>
        <v>48569</v>
      </c>
      <c r="D61" s="723"/>
      <c r="E61" s="723">
        <f>$C$61</f>
        <v>48569</v>
      </c>
      <c r="F61" s="723"/>
      <c r="G61" s="723">
        <f>$C$61*(1+H50)</f>
        <v>50997.450000000004</v>
      </c>
      <c r="H61" s="725"/>
      <c r="I61" s="723">
        <f>$C$61</f>
        <v>48569</v>
      </c>
      <c r="J61" s="723"/>
      <c r="K61" s="723">
        <f>$C$61*(1+$L$61)</f>
        <v>50997.450000000004</v>
      </c>
      <c r="L61" s="726">
        <v>0.05</v>
      </c>
      <c r="M61" s="27"/>
      <c r="N61" s="27"/>
    </row>
    <row r="62" spans="1:14" s="654" customFormat="1" ht="18.75" customHeight="1">
      <c r="B62" s="728" t="s">
        <v>2695</v>
      </c>
      <c r="C62" s="729">
        <f>SUM(C58:C61)</f>
        <v>194669</v>
      </c>
      <c r="D62" s="723"/>
      <c r="E62" s="729">
        <f>SUM(E58:E61)</f>
        <v>194669</v>
      </c>
      <c r="F62" s="723"/>
      <c r="G62" s="729">
        <f>SUM(G58:G61)</f>
        <v>197097.45</v>
      </c>
      <c r="H62" s="723"/>
      <c r="I62" s="729">
        <f>SUM(I58:I61)</f>
        <v>195278</v>
      </c>
      <c r="J62" s="723"/>
      <c r="K62" s="729">
        <f>SUM(K58:K61)</f>
        <v>199054.45</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104652.24400000001</v>
      </c>
      <c r="D64" s="735"/>
      <c r="E64" s="735">
        <f>E56-E62</f>
        <v>94996.719999999972</v>
      </c>
      <c r="F64" s="735"/>
      <c r="G64" s="735">
        <f>G56-G62</f>
        <v>102223.79399999999</v>
      </c>
      <c r="H64" s="735"/>
      <c r="I64" s="735">
        <f>I56-I62</f>
        <v>104043.24400000001</v>
      </c>
      <c r="J64" s="735"/>
      <c r="K64" s="735">
        <f>K56-K62</f>
        <v>90611.26999999996</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11500</v>
      </c>
      <c r="D66" s="730"/>
      <c r="E66" s="730">
        <f>$C$66</f>
        <v>11500</v>
      </c>
      <c r="F66" s="730"/>
      <c r="G66" s="730">
        <f>$C$66</f>
        <v>11500</v>
      </c>
      <c r="H66" s="730"/>
      <c r="I66" s="730">
        <f>$C$66</f>
        <v>11500</v>
      </c>
      <c r="J66" s="730"/>
      <c r="K66" s="730">
        <f>$C$66</f>
        <v>11500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22080</v>
      </c>
      <c r="D68" s="730"/>
      <c r="E68" s="730">
        <f>$C$68</f>
        <v>22080</v>
      </c>
      <c r="F68" s="730"/>
      <c r="G68" s="730">
        <f>$C$68</f>
        <v>22080</v>
      </c>
      <c r="H68" s="730"/>
      <c r="I68" s="730">
        <f>$C$68</f>
        <v>22080</v>
      </c>
      <c r="J68" s="730"/>
      <c r="K68" s="730">
        <f>$C$68</f>
        <v>22080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71072.244000000006</v>
      </c>
      <c r="D70" s="739"/>
      <c r="E70" s="738">
        <f>E64-E66-E68</f>
        <v>61416.719999999972</v>
      </c>
      <c r="F70" s="739"/>
      <c r="G70" s="738">
        <f>G64-G66-G68</f>
        <v>68643.793999999994</v>
      </c>
      <c r="H70" s="739"/>
      <c r="I70" s="738">
        <f>I64-I66-I68</f>
        <v>70463.244000000006</v>
      </c>
      <c r="J70" s="739"/>
      <c r="K70" s="738">
        <f>K64-K66-K68</f>
        <v>57031.26999999996</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1.7848250745363261</v>
      </c>
      <c r="D72" s="741"/>
      <c r="E72" s="1277">
        <f>-E70/E75</f>
        <v>1.5423475562665026</v>
      </c>
      <c r="F72" s="741"/>
      <c r="G72" s="1277">
        <f>-G70/G75</f>
        <v>1.7238398261704835</v>
      </c>
      <c r="H72" s="741"/>
      <c r="I72" s="1277">
        <f>-I70/I75</f>
        <v>1.7695313619810755</v>
      </c>
      <c r="J72" s="741"/>
      <c r="K72" s="1277">
        <f>-K70/K75</f>
        <v>1.4322165025301756</v>
      </c>
      <c r="L72" s="742"/>
      <c r="M72" s="265"/>
      <c r="N72" s="265"/>
    </row>
    <row r="73" spans="1:14" s="654" customFormat="1" ht="18.75" customHeight="1">
      <c r="A73" s="27"/>
      <c r="B73" s="722" t="s">
        <v>2701</v>
      </c>
      <c r="C73" s="1278">
        <f>C76/C62</f>
        <v>0.16053895853958922</v>
      </c>
      <c r="D73" s="743"/>
      <c r="E73" s="1278">
        <f>E76/E62</f>
        <v>0.11093925853599318</v>
      </c>
      <c r="F73" s="743"/>
      <c r="G73" s="1278">
        <f>G76/G62</f>
        <v>0.14623988549797715</v>
      </c>
      <c r="H73" s="743"/>
      <c r="I73" s="1278">
        <f>I76/I62</f>
        <v>0.15691966591189632</v>
      </c>
      <c r="J73" s="743"/>
      <c r="K73" s="1278">
        <f>K76/K62</f>
        <v>8.6463701363839116E-2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-39820.285480056715</v>
      </c>
      <c r="D75" s="723"/>
      <c r="E75" s="723">
        <f>$C$75</f>
        <v>-39820.285480056715</v>
      </c>
      <c r="F75" s="723"/>
      <c r="G75" s="723">
        <f>$C$75</f>
        <v>-39820.285480056715</v>
      </c>
      <c r="H75" s="723"/>
      <c r="I75" s="723">
        <f>$C$75</f>
        <v>-39820.285480056715</v>
      </c>
      <c r="J75" s="723"/>
      <c r="K75" s="723">
        <f>$C$75</f>
        <v>-39820.285480056715</v>
      </c>
      <c r="L75" s="33"/>
      <c r="M75" s="27"/>
      <c r="N75" s="27"/>
    </row>
    <row r="76" spans="1:14" s="654" customFormat="1" ht="18.75" customHeight="1">
      <c r="A76" s="27"/>
      <c r="B76" s="722" t="s">
        <v>1097</v>
      </c>
      <c r="C76" s="723">
        <f>C70+C75</f>
        <v>31251.958519943291</v>
      </c>
      <c r="D76" s="723"/>
      <c r="E76" s="723">
        <f>E70+E75</f>
        <v>21596.434519943257</v>
      </c>
      <c r="F76" s="723"/>
      <c r="G76" s="723">
        <f>G70+G75</f>
        <v>28823.50851994328</v>
      </c>
      <c r="H76" s="723"/>
      <c r="I76" s="723">
        <f>I70+I75</f>
        <v>30642.958519943291</v>
      </c>
      <c r="J76" s="723"/>
      <c r="K76" s="723">
        <f>K70+K75</f>
        <v>17210.984519943246</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C9:D9">
      <formula1>"&lt;&lt;Select&gt;&gt;, HOME, HOME and 9% LIHTC, HOME and 4% LIHTC, NSP and 4% LIHTC"</formula1>
    </dataValidation>
    <dataValidation type="list" showInputMessage="1" showErrorMessage="1" sqref="D25:D27">
      <formula1>"First, Second, Third"</formula1>
    </dataValidation>
    <dataValidation type="list" allowBlank="1" showInputMessage="1" showErrorMessage="1" sqref="C15">
      <formula1>"&lt;&lt;Select&gt;&gt;,Gas, Electric, Propane"</formula1>
    </dataValidation>
    <dataValidation showDropDown="1" showInputMessage="1" showErrorMessage="1" sqref="C14 B25:B27"/>
    <dataValidation type="list" showInputMessage="1" showErrorMessage="1" sqref="D31:D33">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3417</v>
      </c>
    </row>
    <row r="3" spans="1:7" ht="3" customHeight="1"/>
    <row r="4" spans="1:7">
      <c r="A4" s="1221" t="s">
        <v>3418</v>
      </c>
      <c r="B4" s="1222">
        <f>+'Part III-A-Uses of Funds'!$G$146</f>
        <v>13171427</v>
      </c>
    </row>
    <row r="5" spans="1:7">
      <c r="A5" s="1221" t="s">
        <v>3449</v>
      </c>
      <c r="B5" s="1222">
        <f>+B18+B26+B38</f>
        <v>469489.75456311216</v>
      </c>
    </row>
    <row r="6" spans="1:7">
      <c r="A6" s="1221" t="s">
        <v>3419</v>
      </c>
      <c r="B6" s="1223">
        <f>+B5-B4</f>
        <v>-12701937.245436888</v>
      </c>
    </row>
    <row r="7" spans="1:7">
      <c r="A7" s="1221" t="s">
        <v>3420</v>
      </c>
      <c r="B7" s="1224">
        <f>+B6/B4</f>
        <v>-0.96435543737492435</v>
      </c>
    </row>
    <row r="8" spans="1:7" ht="9" customHeight="1"/>
    <row r="9" spans="1:7">
      <c r="A9" s="1221" t="s">
        <v>3421</v>
      </c>
      <c r="B9" s="1222">
        <f>+B18+B26+B33</f>
        <v>469379.75456311216</v>
      </c>
    </row>
    <row r="10" spans="1:7">
      <c r="A10" s="1221" t="s">
        <v>3419</v>
      </c>
      <c r="B10" s="1223">
        <f>+B9-B4</f>
        <v>-12702047.245436888</v>
      </c>
    </row>
    <row r="11" spans="1:7">
      <c r="A11" s="1221" t="s">
        <v>3420</v>
      </c>
      <c r="B11" s="1224">
        <f>+B10/B4</f>
        <v>-0.96436378878589901</v>
      </c>
    </row>
    <row r="12" spans="1:7" ht="24" customHeight="1"/>
    <row r="13" spans="1:7">
      <c r="A13" s="1220" t="s">
        <v>3422</v>
      </c>
      <c r="D13" s="1283" t="s">
        <v>3666</v>
      </c>
      <c r="E13" s="1284"/>
    </row>
    <row r="14" spans="1:7">
      <c r="A14" s="1221" t="s">
        <v>3423</v>
      </c>
      <c r="B14" s="1225">
        <f>+SUM('Part II-Sources of Funds'!L51:M52)</f>
        <v>12627000</v>
      </c>
      <c r="D14" s="1284"/>
      <c r="E14" s="1284"/>
    </row>
    <row r="15" spans="1:7">
      <c r="A15" s="1221" t="s">
        <v>3424</v>
      </c>
      <c r="B15" s="1226">
        <f>+'Part III-A-Uses of Funds'!J180</f>
        <v>1264631.7</v>
      </c>
      <c r="D15" s="1284" t="s">
        <v>1896</v>
      </c>
      <c r="G15" s="1285">
        <f>'Part III-A-Uses of Funds'!J168</f>
        <v>15776764.9</v>
      </c>
    </row>
    <row r="16" spans="1:7" ht="12.75" customHeight="1">
      <c r="D16" s="1284" t="s">
        <v>3667</v>
      </c>
      <c r="G16" s="1289">
        <v>3.2800000000000003E-2</v>
      </c>
    </row>
    <row r="17" spans="1:7" ht="12.75" customHeight="1">
      <c r="A17" s="1221" t="s">
        <v>3425</v>
      </c>
      <c r="B17" s="1288">
        <v>1.45</v>
      </c>
      <c r="D17" s="1284" t="s">
        <v>3668</v>
      </c>
      <c r="G17" s="1290">
        <v>1.45</v>
      </c>
    </row>
    <row r="18" spans="1:7" ht="12.75" customHeight="1">
      <c r="A18" s="1221" t="s">
        <v>3426</v>
      </c>
      <c r="B18" s="1227">
        <f>+'Part III-A-Uses of Funds'!J190*B17*10</f>
        <v>0</v>
      </c>
      <c r="D18" s="1284" t="s">
        <v>3669</v>
      </c>
      <c r="G18" s="1290">
        <v>3.28</v>
      </c>
    </row>
    <row r="19" spans="1:7" ht="12.75" customHeight="1">
      <c r="D19" s="1284" t="s">
        <v>3670</v>
      </c>
      <c r="G19" s="1286">
        <f>+G15*G16*G17*10</f>
        <v>7503429.3864400014</v>
      </c>
    </row>
    <row r="20" spans="1:7">
      <c r="A20" s="1221" t="s">
        <v>3427</v>
      </c>
      <c r="B20" s="1225">
        <f>+B18-B14</f>
        <v>-12627000</v>
      </c>
      <c r="D20" s="1284" t="s">
        <v>3671</v>
      </c>
      <c r="G20" s="1287">
        <f>+B14-G19</f>
        <v>5123570.6135599986</v>
      </c>
    </row>
    <row r="21" spans="1:7">
      <c r="A21" s="1221" t="s">
        <v>3428</v>
      </c>
      <c r="B21" s="1224">
        <f>+B20/B14</f>
        <v>-1</v>
      </c>
      <c r="D21" s="1284" t="s">
        <v>3672</v>
      </c>
      <c r="G21" s="1284" t="str">
        <f>+IF(G20&gt;(B28+B35),"No","Yes")</f>
        <v>No</v>
      </c>
    </row>
    <row r="22" spans="1:7" ht="24" customHeight="1"/>
    <row r="23" spans="1:7">
      <c r="A23" s="1220" t="s">
        <v>3429</v>
      </c>
    </row>
    <row r="24" spans="1:7">
      <c r="A24" s="1221" t="s">
        <v>3430</v>
      </c>
      <c r="B24" s="1228">
        <f>+SUM('Part II-Sources of Funds'!I40:J43)</f>
        <v>525000</v>
      </c>
    </row>
    <row r="25" spans="1:7">
      <c r="A25" s="1221" t="s">
        <v>3431</v>
      </c>
      <c r="B25" s="1229">
        <f>IF('Part II-Sources of Funds'!E6="Yes","N/A",MAX(B46:P46))</f>
        <v>-10099.55768518828</v>
      </c>
    </row>
    <row r="26" spans="1:7">
      <c r="A26" s="1221" t="s">
        <v>3432</v>
      </c>
      <c r="B26" s="1219">
        <f>IFERROR(PV('Part II-Sources of Funds'!K40,'Part II-Sources of Funds'!L40,B25+B45),B24)</f>
        <v>469379.75456311216</v>
      </c>
    </row>
    <row r="27" spans="1:7" ht="9" customHeight="1">
      <c r="B27" s="1219"/>
    </row>
    <row r="28" spans="1:7">
      <c r="A28" s="1221" t="s">
        <v>3433</v>
      </c>
      <c r="B28" s="1230">
        <f>+B26-B24</f>
        <v>-55620.245436887839</v>
      </c>
      <c r="C28" s="1231"/>
    </row>
    <row r="29" spans="1:7">
      <c r="A29" s="1221" t="s">
        <v>3428</v>
      </c>
      <c r="B29" s="1232">
        <f>+B28/B24</f>
        <v>-0.10594332464169112</v>
      </c>
    </row>
    <row r="30" spans="1:7" ht="24" customHeight="1"/>
    <row r="31" spans="1:7">
      <c r="A31" s="1220" t="s">
        <v>3363</v>
      </c>
    </row>
    <row r="32" spans="1:7">
      <c r="A32" s="1221" t="s">
        <v>3434</v>
      </c>
      <c r="B32" s="1233">
        <f>+'Part II-Sources of Funds'!I45</f>
        <v>20197</v>
      </c>
    </row>
    <row r="33" spans="1:11">
      <c r="A33" s="1221" t="s">
        <v>3435</v>
      </c>
      <c r="B33" s="1219"/>
    </row>
    <row r="34" spans="1:11" ht="9" customHeight="1">
      <c r="B34" s="1219"/>
    </row>
    <row r="35" spans="1:11">
      <c r="A35" s="1221" t="s">
        <v>3436</v>
      </c>
      <c r="B35" s="1233">
        <f>+B33-B32</f>
        <v>-20197</v>
      </c>
    </row>
    <row r="36" spans="1:11">
      <c r="A36" s="1221" t="s">
        <v>3437</v>
      </c>
      <c r="B36" s="1218">
        <f>+B35/B32</f>
        <v>-1</v>
      </c>
    </row>
    <row r="37" spans="1:11" ht="24" customHeight="1">
      <c r="B37" s="1219"/>
    </row>
    <row r="38" spans="1:11">
      <c r="A38" s="1220" t="s">
        <v>3438</v>
      </c>
      <c r="B38" s="1219">
        <f>+SUM('Part II-Sources of Funds'!I44,'Part II-Sources of Funds'!I49,'Part II-Sources of Funds'!I50,'Part II-Sources of Funds'!I53:I59)</f>
        <v>110</v>
      </c>
    </row>
    <row r="39" spans="1:11">
      <c r="B39" s="1219"/>
    </row>
    <row r="40" spans="1:11">
      <c r="B40" s="1219"/>
    </row>
    <row r="41" spans="1:11">
      <c r="B41" s="1219"/>
    </row>
    <row r="42" spans="1:11">
      <c r="A42" s="1220" t="s">
        <v>3439</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71072.244000000006</v>
      </c>
      <c r="C44" s="1222">
        <f>+'Part VI-Pro Forma'!C25</f>
        <v>70211.598880000005</v>
      </c>
      <c r="D44" s="1222">
        <f>+'Part VI-Pro Forma'!D25</f>
        <v>69264.130157599982</v>
      </c>
      <c r="E44" s="1222">
        <f>+'Part VI-Pro Forma'!E25</f>
        <v>68228.665839751964</v>
      </c>
      <c r="F44" s="1222">
        <f>+'Part VI-Pro Forma'!F25</f>
        <v>67098.914827917091</v>
      </c>
      <c r="G44" s="1222">
        <f>+'Part VI-Pro Forma'!G25</f>
        <v>65871.462865986512</v>
      </c>
      <c r="H44" s="1222">
        <f>+'Part VI-Pro Forma'!H25</f>
        <v>64542.768357062654</v>
      </c>
      <c r="I44" s="1222">
        <f>+'Part VI-Pro Forma'!I25</f>
        <v>63108.158044973046</v>
      </c>
      <c r="J44" s="1222">
        <f>+'Part VI-Pro Forma'!J25</f>
        <v>61563.82255626472</v>
      </c>
      <c r="K44" s="1222">
        <f>+'Part VI-Pro Forma'!K25</f>
        <v>59903.811798293988</v>
      </c>
    </row>
    <row r="45" spans="1:11">
      <c r="A45" s="1221" t="s">
        <v>3440</v>
      </c>
      <c r="B45" s="1222">
        <f>SUM('Part VI-Pro Forma'!B26:B29)</f>
        <v>-39820.285480056715</v>
      </c>
      <c r="C45" s="1222">
        <f>SUM('Part VI-Pro Forma'!C26:C29)</f>
        <v>-39820.285480056715</v>
      </c>
      <c r="D45" s="1222">
        <f>SUM('Part VI-Pro Forma'!D26:D29)</f>
        <v>-39820.285480056715</v>
      </c>
      <c r="E45" s="1222">
        <f>SUM('Part VI-Pro Forma'!E26:E29)</f>
        <v>-39820.285480056715</v>
      </c>
      <c r="F45" s="1222">
        <f>SUM('Part VI-Pro Forma'!F26:F29)</f>
        <v>-39820.285480056715</v>
      </c>
      <c r="G45" s="1222">
        <f>SUM('Part VI-Pro Forma'!G26:G29)</f>
        <v>-39820.285480056715</v>
      </c>
      <c r="H45" s="1222">
        <f>SUM('Part VI-Pro Forma'!H26:H29)</f>
        <v>-39820.285480056715</v>
      </c>
      <c r="I45" s="1222">
        <f>SUM('Part VI-Pro Forma'!I26:I29)</f>
        <v>-39820.285480056715</v>
      </c>
      <c r="J45" s="1222">
        <f>SUM('Part VI-Pro Forma'!J26:J29)</f>
        <v>-39820.285480056715</v>
      </c>
      <c r="K45" s="1222">
        <f>SUM('Part VI-Pro Forma'!K26:K29)</f>
        <v>-39820.285480056715</v>
      </c>
    </row>
    <row r="46" spans="1:11">
      <c r="A46" s="1221" t="s">
        <v>3441</v>
      </c>
      <c r="B46" s="1223">
        <f t="shared" ref="B46:K46" si="0">-B44/B48-B45</f>
        <v>-19406.584519943295</v>
      </c>
      <c r="C46" s="1223">
        <f t="shared" si="0"/>
        <v>-18689.380253276628</v>
      </c>
      <c r="D46" s="1223">
        <f t="shared" si="0"/>
        <v>-17899.822984609942</v>
      </c>
      <c r="E46" s="1223">
        <f t="shared" si="0"/>
        <v>-17036.936053069927</v>
      </c>
      <c r="F46" s="1223">
        <f t="shared" si="0"/>
        <v>-16095.476876540866</v>
      </c>
      <c r="G46" s="1223">
        <f t="shared" si="0"/>
        <v>-15072.600241598717</v>
      </c>
      <c r="H46" s="1223">
        <f t="shared" si="0"/>
        <v>-13965.354817495499</v>
      </c>
      <c r="I46" s="1223">
        <f t="shared" si="0"/>
        <v>-12769.846224087494</v>
      </c>
      <c r="J46" s="1223">
        <f t="shared" si="0"/>
        <v>-11482.89998349722</v>
      </c>
      <c r="K46" s="1223">
        <f t="shared" si="0"/>
        <v>-10099.55768518828</v>
      </c>
    </row>
    <row r="48" spans="1:11">
      <c r="A48" s="1221" t="s">
        <v>3442</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71072.244000000006</v>
      </c>
      <c r="C51" s="1223">
        <f t="shared" ref="C51:K51" si="2">+C44</f>
        <v>70211.598880000005</v>
      </c>
      <c r="D51" s="1223">
        <f t="shared" si="2"/>
        <v>69264.130157599982</v>
      </c>
      <c r="E51" s="1223">
        <f t="shared" si="2"/>
        <v>68228.665839751964</v>
      </c>
      <c r="F51" s="1223">
        <f t="shared" si="2"/>
        <v>67098.914827917091</v>
      </c>
      <c r="G51" s="1223">
        <f t="shared" si="2"/>
        <v>65871.462865986512</v>
      </c>
      <c r="H51" s="1223">
        <f t="shared" si="2"/>
        <v>64542.768357062654</v>
      </c>
      <c r="I51" s="1223">
        <f t="shared" si="2"/>
        <v>63108.158044973046</v>
      </c>
      <c r="J51" s="1223">
        <f t="shared" si="2"/>
        <v>61563.82255626472</v>
      </c>
      <c r="K51" s="1223">
        <f t="shared" si="2"/>
        <v>59903.811798293988</v>
      </c>
    </row>
    <row r="52" spans="1:17">
      <c r="A52" s="1221" t="s">
        <v>3443</v>
      </c>
      <c r="B52" s="1223">
        <f>IF($B$25="N/A",B45,B45+$B$25)</f>
        <v>-49919.843165244994</v>
      </c>
      <c r="C52" s="1223">
        <f t="shared" ref="C52:K52" si="3">IF($B$25="N/A",C45,C45+$B$25)</f>
        <v>-49919.843165244994</v>
      </c>
      <c r="D52" s="1223">
        <f t="shared" si="3"/>
        <v>-49919.843165244994</v>
      </c>
      <c r="E52" s="1223">
        <f t="shared" si="3"/>
        <v>-49919.843165244994</v>
      </c>
      <c r="F52" s="1223">
        <f t="shared" si="3"/>
        <v>-49919.843165244994</v>
      </c>
      <c r="G52" s="1223">
        <f t="shared" si="3"/>
        <v>-49919.843165244994</v>
      </c>
      <c r="H52" s="1223">
        <f t="shared" si="3"/>
        <v>-49919.843165244994</v>
      </c>
      <c r="I52" s="1223">
        <f t="shared" si="3"/>
        <v>-49919.843165244994</v>
      </c>
      <c r="J52" s="1223">
        <f t="shared" si="3"/>
        <v>-49919.843165244994</v>
      </c>
      <c r="K52" s="1223">
        <f t="shared" si="3"/>
        <v>-49919.843165244994</v>
      </c>
    </row>
    <row r="53" spans="1:17">
      <c r="A53" s="1221" t="s">
        <v>3444</v>
      </c>
      <c r="B53" s="1222">
        <f>+'Part VI-Pro Forma'!B31</f>
        <v>-7500</v>
      </c>
      <c r="C53" s="1222">
        <f>+'Part VI-Pro Forma'!C31</f>
        <v>-7500</v>
      </c>
      <c r="D53" s="1222">
        <f>+'Part VI-Pro Forma'!D31</f>
        <v>-7500</v>
      </c>
      <c r="E53" s="1222">
        <f>+'Part VI-Pro Forma'!E31</f>
        <v>-7500</v>
      </c>
      <c r="F53" s="1222">
        <f>+'Part VI-Pro Forma'!F31</f>
        <v>-7500</v>
      </c>
      <c r="G53" s="1222">
        <f>+'Part VI-Pro Forma'!G31</f>
        <v>-7500</v>
      </c>
      <c r="H53" s="1222">
        <f>+'Part VI-Pro Forma'!H31</f>
        <v>-7500</v>
      </c>
      <c r="I53" s="1222">
        <f>+'Part VI-Pro Forma'!I31</f>
        <v>-7500</v>
      </c>
      <c r="J53" s="1222">
        <f>+'Part VI-Pro Forma'!J31</f>
        <v>-7500</v>
      </c>
      <c r="K53" s="1222">
        <f>+'Part VI-Pro Forma'!K31</f>
        <v>-7500</v>
      </c>
    </row>
    <row r="54" spans="1:17">
      <c r="A54" s="1221" t="s">
        <v>3445</v>
      </c>
      <c r="B54" s="1223">
        <f>+SUM(B51:B53)</f>
        <v>13652.400834755012</v>
      </c>
      <c r="C54" s="1223">
        <f t="shared" ref="C54:K54" si="4">+SUM(C51:C53)</f>
        <v>12791.755714755011</v>
      </c>
      <c r="D54" s="1223">
        <f t="shared" si="4"/>
        <v>11844.286992354988</v>
      </c>
      <c r="E54" s="1223">
        <f t="shared" si="4"/>
        <v>10808.82267450697</v>
      </c>
      <c r="F54" s="1223">
        <f t="shared" si="4"/>
        <v>9679.0716626720969</v>
      </c>
      <c r="G54" s="1223">
        <f t="shared" si="4"/>
        <v>8451.6197007415176</v>
      </c>
      <c r="H54" s="1223">
        <f t="shared" si="4"/>
        <v>7122.9251918176597</v>
      </c>
      <c r="I54" s="1223">
        <f t="shared" si="4"/>
        <v>5688.3148797280519</v>
      </c>
      <c r="J54" s="1223">
        <f t="shared" si="4"/>
        <v>4143.9793910197259</v>
      </c>
      <c r="K54" s="1223">
        <f t="shared" si="4"/>
        <v>2483.9686330489931</v>
      </c>
    </row>
    <row r="55" spans="1:17">
      <c r="A55" s="1221" t="s">
        <v>3363</v>
      </c>
      <c r="B55" s="1223">
        <f>-B54</f>
        <v>-13652.400834755012</v>
      </c>
      <c r="C55" s="1223">
        <f t="shared" ref="C55:K55" si="5">-C54</f>
        <v>-12791.755714755011</v>
      </c>
      <c r="D55" s="1223">
        <f t="shared" si="5"/>
        <v>-11844.286992354988</v>
      </c>
      <c r="E55" s="1223">
        <f t="shared" si="5"/>
        <v>-10808.82267450697</v>
      </c>
      <c r="F55" s="1223">
        <f t="shared" si="5"/>
        <v>-9679.0716626720969</v>
      </c>
      <c r="G55" s="1223">
        <f t="shared" si="5"/>
        <v>-8451.6197007415176</v>
      </c>
      <c r="H55" s="1223">
        <f t="shared" si="5"/>
        <v>-7122.9251918176597</v>
      </c>
      <c r="I55" s="1223">
        <f t="shared" si="5"/>
        <v>-5688.3148797280519</v>
      </c>
      <c r="J55" s="1223">
        <f t="shared" si="5"/>
        <v>-4143.9793910197259</v>
      </c>
      <c r="K55" s="1223">
        <f t="shared" si="5"/>
        <v>-2483.9686330489931</v>
      </c>
    </row>
    <row r="56" spans="1:17">
      <c r="A56" s="1221" t="s">
        <v>3446</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3447</v>
      </c>
      <c r="B58" s="1222">
        <f>IF($B$26="","",-FV('Part II-Sources of Funds'!$K$40/12,12,B52/12,B26))</f>
        <v>449380.76527327293</v>
      </c>
      <c r="C58" s="1222">
        <f>IF($B$26="","",-FV('Part II-Sources of Funds'!$K$40/12,12,C52/12,B58))</f>
        <v>428042.40663251415</v>
      </c>
      <c r="D58" s="1222">
        <f>IF($B$26="","",-FV('Part II-Sources of Funds'!$K$40/12,12,D52/12,C58))</f>
        <v>405274.97859488928</v>
      </c>
      <c r="E58" s="1222">
        <f>IF($B$26="","",-FV('Part II-Sources of Funds'!$K$40/12,12,E52/12,D58))</f>
        <v>380982.77373625006</v>
      </c>
      <c r="F58" s="1222">
        <f>IF($B$26="","",-FV('Part II-Sources of Funds'!$K$40/12,12,F52/12,E58))</f>
        <v>355063.67492900259</v>
      </c>
      <c r="G58" s="1222">
        <f>IF($B$26="","",-FV('Part II-Sources of Funds'!$K$40/12,12,G52/12,F58))</f>
        <v>327408.72607239685</v>
      </c>
      <c r="H58" s="1222">
        <f>IF($B$26="","",-FV('Part II-Sources of Funds'!$K$40/12,12,H52/12,G58))</f>
        <v>297901.67407382862</v>
      </c>
      <c r="I58" s="1222">
        <f>IF($B$26="","",-FV('Part II-Sources of Funds'!$K$40/12,12,I52/12,H58))</f>
        <v>266418.48015578091</v>
      </c>
      <c r="J58" s="1222">
        <f>IF($B$26="","",-FV('Part II-Sources of Funds'!$K$40/12,12,J52/12,I58))</f>
        <v>232826.79843408638</v>
      </c>
      <c r="K58" s="1222">
        <f>IF($B$26="","",-FV('Part II-Sources of Funds'!$K$40/12,12,K52/12,J58))</f>
        <v>196985.41957560997</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3439</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58123.030208890952</v>
      </c>
      <c r="C64" s="1222">
        <f>+'Part VI-Pro Forma'!C57</f>
        <v>56218.231852938639</v>
      </c>
      <c r="D64" s="1222">
        <f>+'Part VI-Pro Forma'!D57</f>
        <v>54183.015361063677</v>
      </c>
      <c r="E64" s="1222">
        <f>+'Part VI-Pro Forma'!E57</f>
        <v>52012.818705483078</v>
      </c>
      <c r="F64" s="1222">
        <f>+'Part VI-Pro Forma'!F57</f>
        <v>49700.913807906756</v>
      </c>
      <c r="G64" s="1222">
        <f>+'Part VI-Pro Forma'!G57</f>
        <v>47242.400974228221</v>
      </c>
      <c r="H64" s="1222">
        <f>+'Part VI-Pro Forma'!H57</f>
        <v>44631.203150581292</v>
      </c>
      <c r="I64" s="1222">
        <f>+'Part VI-Pro Forma'!I57</f>
        <v>41861.059995167401</v>
      </c>
      <c r="J64" s="1222">
        <f>+'Part VI-Pro Forma'!J57</f>
        <v>38925.521760092335</v>
      </c>
      <c r="K64" s="1222">
        <f>+'Part VI-Pro Forma'!K57</f>
        <v>35818.942977266532</v>
      </c>
    </row>
    <row r="65" spans="1:11">
      <c r="A65" s="1221" t="s">
        <v>3440</v>
      </c>
      <c r="B65" s="1222">
        <f>SUM('Part VI-Pro Forma'!B58:B61)</f>
        <v>-39820.285480056715</v>
      </c>
      <c r="C65" s="1222">
        <f>SUM('Part VI-Pro Forma'!C58:C61)</f>
        <v>-39820.285480056715</v>
      </c>
      <c r="D65" s="1222">
        <f>SUM('Part VI-Pro Forma'!D58:D61)</f>
        <v>-39820.285480056715</v>
      </c>
      <c r="E65" s="1222">
        <f>SUM('Part VI-Pro Forma'!E58:E61)</f>
        <v>-39820.285480056715</v>
      </c>
      <c r="F65" s="1222">
        <f>SUM('Part VI-Pro Forma'!F58:F61)</f>
        <v>-39820.285480056715</v>
      </c>
      <c r="G65" s="1222">
        <f>SUM('Part VI-Pro Forma'!G58:G61)</f>
        <v>-39820.285480056715</v>
      </c>
      <c r="H65" s="1222">
        <f>SUM('Part VI-Pro Forma'!H58:H61)</f>
        <v>-39820.285480056715</v>
      </c>
      <c r="I65" s="1222">
        <f>SUM('Part VI-Pro Forma'!I58:I61)</f>
        <v>-39820.285480056715</v>
      </c>
      <c r="J65" s="1222">
        <f>SUM('Part VI-Pro Forma'!J58:J61)</f>
        <v>-39820.285480056715</v>
      </c>
      <c r="K65" s="1222">
        <f>SUM('Part VI-Pro Forma'!K58:K61)</f>
        <v>-39820.285480056715</v>
      </c>
    </row>
    <row r="66" spans="1:11">
      <c r="A66" s="1221" t="s">
        <v>3441</v>
      </c>
      <c r="B66" s="1223">
        <f t="shared" ref="B66:K66" si="7">-B64/B68-B65</f>
        <v>-8615.5730273524168</v>
      </c>
      <c r="C66" s="1223">
        <f t="shared" si="7"/>
        <v>-7028.2410640588205</v>
      </c>
      <c r="D66" s="1223">
        <f t="shared" si="7"/>
        <v>-5332.2273208296829</v>
      </c>
      <c r="E66" s="1223">
        <f t="shared" si="7"/>
        <v>-3523.7301078458549</v>
      </c>
      <c r="F66" s="1223">
        <f t="shared" si="7"/>
        <v>-1597.142693198919</v>
      </c>
      <c r="G66" s="1223">
        <f t="shared" si="7"/>
        <v>451.618001533192</v>
      </c>
      <c r="H66" s="1223">
        <f t="shared" si="7"/>
        <v>2627.6161879056381</v>
      </c>
      <c r="I66" s="1223">
        <f t="shared" si="7"/>
        <v>4936.0688174172101</v>
      </c>
      <c r="J66" s="1223">
        <f t="shared" si="7"/>
        <v>7382.3506799797688</v>
      </c>
      <c r="K66" s="1223">
        <f t="shared" si="7"/>
        <v>9971.1663323346038</v>
      </c>
    </row>
    <row r="68" spans="1:11">
      <c r="A68" s="1221" t="s">
        <v>3442</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58123.030208890952</v>
      </c>
      <c r="C71" s="1223">
        <f t="shared" si="9"/>
        <v>56218.231852938639</v>
      </c>
      <c r="D71" s="1223">
        <f t="shared" si="9"/>
        <v>54183.015361063677</v>
      </c>
      <c r="E71" s="1223">
        <f t="shared" si="9"/>
        <v>52012.818705483078</v>
      </c>
      <c r="F71" s="1223">
        <f t="shared" si="9"/>
        <v>49700.913807906756</v>
      </c>
      <c r="G71" s="1223">
        <f t="shared" si="9"/>
        <v>47242.400974228221</v>
      </c>
      <c r="H71" s="1223">
        <f>+H64</f>
        <v>44631.203150581292</v>
      </c>
      <c r="I71" s="1223">
        <f>+I64</f>
        <v>41861.059995167401</v>
      </c>
      <c r="J71" s="1223">
        <f>+J64</f>
        <v>38925.521760092335</v>
      </c>
      <c r="K71" s="1223">
        <f>+K64</f>
        <v>35818.942977266532</v>
      </c>
    </row>
    <row r="72" spans="1:11">
      <c r="A72" s="1221" t="s">
        <v>3443</v>
      </c>
      <c r="B72" s="1223">
        <f t="shared" ref="B72:G72" si="10">IF($B$25="N/A",B65,B65+$B$25)</f>
        <v>-49919.843165244994</v>
      </c>
      <c r="C72" s="1223">
        <f t="shared" si="10"/>
        <v>-49919.843165244994</v>
      </c>
      <c r="D72" s="1223">
        <f t="shared" si="10"/>
        <v>-49919.843165244994</v>
      </c>
      <c r="E72" s="1223">
        <f t="shared" si="10"/>
        <v>-49919.843165244994</v>
      </c>
      <c r="F72" s="1223">
        <f t="shared" si="10"/>
        <v>-49919.843165244994</v>
      </c>
      <c r="G72" s="1223">
        <f t="shared" si="10"/>
        <v>-49919.843165244994</v>
      </c>
      <c r="H72" s="1223">
        <f>IF($B$25="N/A",H65,H65+$B$25)</f>
        <v>-49919.843165244994</v>
      </c>
      <c r="I72" s="1223">
        <f>IF($B$25="N/A",I65,I65+$B$25)</f>
        <v>-49919.843165244994</v>
      </c>
      <c r="J72" s="1223">
        <f>IF($B$25="N/A",J65,J65+$B$25)</f>
        <v>-49919.843165244994</v>
      </c>
      <c r="K72" s="1223">
        <f>IF($B$25="N/A",K65,K65+$B$25)</f>
        <v>-49919.843165244994</v>
      </c>
    </row>
    <row r="73" spans="1:11">
      <c r="A73" s="1221" t="s">
        <v>3444</v>
      </c>
      <c r="B73" s="1222">
        <f>+'Part VI-Pro Forma'!B63</f>
        <v>-7500</v>
      </c>
      <c r="C73" s="1222">
        <f>+'Part VI-Pro Forma'!C63</f>
        <v>-7500</v>
      </c>
      <c r="D73" s="1222">
        <f>+'Part VI-Pro Forma'!D63</f>
        <v>-7500</v>
      </c>
      <c r="E73" s="1222">
        <f>+'Part VI-Pro Forma'!E63</f>
        <v>-7500</v>
      </c>
      <c r="F73" s="1222">
        <f>+'Part VI-Pro Forma'!F63</f>
        <v>-7500</v>
      </c>
      <c r="G73" s="1222">
        <f>+'Part VI-Pro Forma'!G63</f>
        <v>-7500</v>
      </c>
      <c r="H73" s="1222">
        <f>+'Part VI-Pro Forma'!H63</f>
        <v>-7500</v>
      </c>
      <c r="I73" s="1222">
        <f>+'Part VI-Pro Forma'!I63</f>
        <v>-7500</v>
      </c>
      <c r="J73" s="1222">
        <f>+'Part VI-Pro Forma'!J63</f>
        <v>-7500</v>
      </c>
      <c r="K73" s="1222">
        <f>+'Part VI-Pro Forma'!K63</f>
        <v>-7500</v>
      </c>
    </row>
    <row r="74" spans="1:11">
      <c r="A74" s="1221" t="s">
        <v>3445</v>
      </c>
      <c r="B74" s="1223">
        <f t="shared" ref="B74:G74" si="11">+SUM(B71:B73)</f>
        <v>703.1870436459576</v>
      </c>
      <c r="C74" s="1223">
        <f t="shared" si="11"/>
        <v>-1201.6113123063551</v>
      </c>
      <c r="D74" s="1223">
        <f t="shared" si="11"/>
        <v>-3236.8278041813173</v>
      </c>
      <c r="E74" s="1223">
        <f t="shared" si="11"/>
        <v>-5407.0244597619167</v>
      </c>
      <c r="F74" s="1223">
        <f t="shared" si="11"/>
        <v>-7718.9293573382383</v>
      </c>
      <c r="G74" s="1223">
        <f t="shared" si="11"/>
        <v>-10177.442191016773</v>
      </c>
      <c r="H74" s="1223">
        <f>+SUM(H71:H73)</f>
        <v>-12788.640014663702</v>
      </c>
      <c r="I74" s="1223">
        <f>+SUM(I71:I73)</f>
        <v>-15558.783170077593</v>
      </c>
      <c r="J74" s="1223">
        <f>+SUM(J71:J73)</f>
        <v>-18494.321405152659</v>
      </c>
      <c r="K74" s="1223">
        <f>+SUM(K71:K73)</f>
        <v>-21600.900187978463</v>
      </c>
    </row>
    <row r="75" spans="1:11">
      <c r="A75" s="1221" t="s">
        <v>3363</v>
      </c>
      <c r="B75" s="1223">
        <f t="shared" ref="B75:G75" si="12">-B74</f>
        <v>-703.1870436459576</v>
      </c>
      <c r="C75" s="1223">
        <f t="shared" si="12"/>
        <v>1201.6113123063551</v>
      </c>
      <c r="D75" s="1223">
        <f t="shared" si="12"/>
        <v>3236.8278041813173</v>
      </c>
      <c r="E75" s="1223">
        <f t="shared" si="12"/>
        <v>5407.0244597619167</v>
      </c>
      <c r="F75" s="1223">
        <f t="shared" si="12"/>
        <v>7718.9293573382383</v>
      </c>
      <c r="G75" s="1223">
        <f t="shared" si="12"/>
        <v>10177.442191016773</v>
      </c>
      <c r="H75" s="1223">
        <f>-H74</f>
        <v>12788.640014663702</v>
      </c>
      <c r="I75" s="1223">
        <f>-I74</f>
        <v>15558.783170077593</v>
      </c>
      <c r="J75" s="1223">
        <f>-J74</f>
        <v>18494.321405152659</v>
      </c>
      <c r="K75" s="1223">
        <f>-K74</f>
        <v>21600.900187978463</v>
      </c>
    </row>
    <row r="76" spans="1:11">
      <c r="A76" s="1221" t="s">
        <v>3446</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3447</v>
      </c>
      <c r="B78" s="1222">
        <f>IF($B$26="","",-FV('Part II-Sources of Funds'!$K$40/12,12,B72/12,K58))</f>
        <v>158743.67719665659</v>
      </c>
      <c r="C78" s="1222">
        <f>IF($B$26="","",-FV('Part II-Sources of Funds'!$K$40/12,12,C72/12,B78))</f>
        <v>117940.81450678055</v>
      </c>
      <c r="D78" s="1222">
        <f>IF($B$26="","",-FV('Part II-Sources of Funds'!$K$40/12,12,D72/12,C78))</f>
        <v>74405.308535558041</v>
      </c>
      <c r="E78" s="1222">
        <f>IF($B$26="","",-FV('Part II-Sources of Funds'!$K$40/12,12,E72/12,D78))</f>
        <v>27954.149101574993</v>
      </c>
      <c r="F78" s="1222">
        <f>IF($B$26="","",-FV('Part II-Sources of Funds'!$K$40/12,12,F72/12,E78))</f>
        <v>-21607.930507367299</v>
      </c>
      <c r="G78" s="1222">
        <f>IF($B$26="","",-FV('Part II-Sources of Funds'!$K$40/12,12,G72/12,F78))</f>
        <v>-74489.274376817935</v>
      </c>
      <c r="H78" s="1222">
        <f>IF($B$26="","",-FV('Part II-Sources of Funds'!$K$40/12,12,H72/12,G78))</f>
        <v>-130912.179781589</v>
      </c>
      <c r="I78" s="1222">
        <f>IF($B$26="","",-FV('Part II-Sources of Funds'!$K$40/12,12,I72/12,H78))</f>
        <v>-191113.8316566819</v>
      </c>
      <c r="J78" s="1222">
        <f>IF($B$26="","",-FV('Part II-Sources of Funds'!$K$40/12,12,J72/12,I78))</f>
        <v>-255347.29965146212</v>
      </c>
      <c r="K78" s="1222">
        <f>IF($B$26="","",-FV('Part II-Sources of Funds'!$K$40/12,12,K72/12,J78))</f>
        <v>-323882.60195839882</v>
      </c>
    </row>
    <row r="79" spans="1:11">
      <c r="A79" s="1221" t="s">
        <v>3364</v>
      </c>
    </row>
    <row r="82" spans="1:2">
      <c r="A82" s="1221" t="s">
        <v>3448</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Magnolia Villas</v>
      </c>
    </row>
    <row r="2" spans="1:15" ht="13.5" customHeight="1"/>
    <row r="3" spans="1:15" ht="13.5" customHeight="1">
      <c r="A3" s="664" t="s">
        <v>2708</v>
      </c>
      <c r="C3" s="663" t="s">
        <v>2709</v>
      </c>
      <c r="E3" s="749">
        <f>SUM('Part III-A-Uses of Funds'!J162,'Part III-A-Uses of Funds'!M162,'Part III-A-Uses of Funds'!P162)</f>
        <v>12135973</v>
      </c>
      <c r="F3" s="1299" t="s">
        <v>2710</v>
      </c>
      <c r="H3" s="1279">
        <v>27.5</v>
      </c>
      <c r="I3" s="663" t="s">
        <v>2274</v>
      </c>
      <c r="K3" s="668" t="s">
        <v>2731</v>
      </c>
      <c r="M3" s="1299"/>
      <c r="O3" s="750"/>
    </row>
    <row r="4" spans="1:15" ht="13.5" customHeight="1">
      <c r="C4" s="663" t="s">
        <v>3130</v>
      </c>
      <c r="E4" s="749">
        <f>SUM('Part III-A-Uses of Funds'!G97:H101)</f>
        <v>25250</v>
      </c>
      <c r="F4" s="1299" t="s">
        <v>3663</v>
      </c>
      <c r="H4" s="664">
        <f>'Part II-Sources of Funds'!M40</f>
        <v>30</v>
      </c>
      <c r="I4" s="663" t="s">
        <v>2274</v>
      </c>
      <c r="K4" s="751" t="s">
        <v>2959</v>
      </c>
      <c r="M4" s="1299"/>
    </row>
    <row r="5" spans="1:15" ht="13.5" customHeight="1">
      <c r="C5" s="663" t="s">
        <v>3131</v>
      </c>
      <c r="E5" s="749">
        <f>SUM('Part III-A-Uses of Funds'!G105:H111)</f>
        <v>141300</v>
      </c>
      <c r="F5" s="1299" t="s">
        <v>3662</v>
      </c>
      <c r="H5" s="1279">
        <v>15</v>
      </c>
      <c r="I5" s="663" t="s">
        <v>2274</v>
      </c>
      <c r="K5" s="750">
        <f>-E6</f>
        <v>-12626120</v>
      </c>
    </row>
    <row r="6" spans="1:15" ht="13.5" customHeight="1">
      <c r="C6" s="663" t="s">
        <v>2711</v>
      </c>
      <c r="E6" s="752">
        <f>'Part II-Sources of Funds'!$I$51+'Part II-Sources of Funds'!$I$52</f>
        <v>12626120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3554.9585199432913</v>
      </c>
      <c r="D9" s="757">
        <f>'Part VI-Pro Forma'!C33</f>
        <v>22891.31339994329</v>
      </c>
      <c r="E9" s="757">
        <f>'Part VI-Pro Forma'!D33</f>
        <v>21943.844677543268</v>
      </c>
      <c r="F9" s="757">
        <f>'Part VI-Pro Forma'!E33</f>
        <v>20908.380359695249</v>
      </c>
      <c r="G9" s="757">
        <f>'Part VI-Pro Forma'!F33</f>
        <v>19778.629347860377</v>
      </c>
      <c r="H9" s="757">
        <f>'Part VI-Pro Forma'!G33</f>
        <v>18551.177385929797</v>
      </c>
      <c r="I9" s="757">
        <f>'Part VI-Pro Forma'!H33</f>
        <v>17222.482877005939</v>
      </c>
      <c r="K9" s="750" t="e">
        <f>F24</f>
        <v>#VALUE!</v>
      </c>
      <c r="N9" s="758" t="s">
        <v>2717</v>
      </c>
    </row>
    <row r="10" spans="1:15" ht="13.5" customHeight="1">
      <c r="A10" s="663" t="s">
        <v>2716</v>
      </c>
      <c r="C10" s="1248">
        <f>'Part II-Sources of Funds'!I40-'Part VI-Pro Forma'!B40</f>
        <v>5868.0587120398995</v>
      </c>
      <c r="D10" s="759">
        <f>'Part VI-Pro Forma'!B40-'Part VI-Pro Forma'!C40</f>
        <v>6261.0534716448747</v>
      </c>
      <c r="E10" s="759">
        <f>'Part VI-Pro Forma'!C40-'Part VI-Pro Forma'!D40</f>
        <v>6680.3678181278519</v>
      </c>
      <c r="F10" s="759">
        <f>'Part VI-Pro Forma'!D40-'Part VI-Pro Forma'!E40</f>
        <v>7127.7644229660509</v>
      </c>
      <c r="G10" s="759">
        <f>'Part VI-Pro Forma'!E40-'Part VI-Pro Forma'!F40</f>
        <v>7605.1240070099011</v>
      </c>
      <c r="H10" s="759">
        <f>'Part VI-Pro Forma'!F40-'Part VI-Pro Forma'!G40</f>
        <v>8114.4532464683289</v>
      </c>
      <c r="I10" s="759">
        <f>'Part VI-Pro Forma'!G40-'Part VI-Pro Forma'!H40</f>
        <v>8657.8932083724067</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-11500</v>
      </c>
      <c r="D13" s="1249">
        <f>'Part VI-Pro Forma'!C23</f>
        <v>-11845</v>
      </c>
      <c r="E13" s="1249">
        <f>'Part VI-Pro Forma'!D23</f>
        <v>-12200.35</v>
      </c>
      <c r="F13" s="1249">
        <f>'Part VI-Pro Forma'!E23</f>
        <v>-12566.360500000001</v>
      </c>
      <c r="G13" s="1249">
        <f>'Part VI-Pro Forma'!F23</f>
        <v>-12943.351315</v>
      </c>
      <c r="H13" s="1249">
        <f>'Part VI-Pro Forma'!G23</f>
        <v>-13331.651854449998</v>
      </c>
      <c r="I13" s="1249">
        <f>'Part VI-Pro Forma'!H23</f>
        <v>-13731.601410083498</v>
      </c>
      <c r="K13" s="750" t="e">
        <f>C44</f>
        <v>#VALUE!</v>
      </c>
      <c r="O13" s="755"/>
    </row>
    <row r="14" spans="1:15" ht="13.5" customHeight="1">
      <c r="A14" s="761" t="s">
        <v>3133</v>
      </c>
      <c r="B14" s="762"/>
      <c r="C14" s="1249">
        <f>'Part VI-Pro Forma'!B32</f>
        <v>-20197</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441308.10909090907</v>
      </c>
      <c r="D15" s="764">
        <f t="shared" si="0"/>
        <v>441308.10909090907</v>
      </c>
      <c r="E15" s="764">
        <f t="shared" si="0"/>
        <v>441308.10909090907</v>
      </c>
      <c r="F15" s="764">
        <f t="shared" si="0"/>
        <v>441308.10909090907</v>
      </c>
      <c r="G15" s="764">
        <f t="shared" si="0"/>
        <v>441308.10909090907</v>
      </c>
      <c r="H15" s="764">
        <f t="shared" si="0"/>
        <v>441308.10909090907</v>
      </c>
      <c r="I15" s="764">
        <f t="shared" si="0"/>
        <v>441308.10909090907</v>
      </c>
      <c r="K15" s="750" t="e">
        <f>E44</f>
        <v>#VALUE!</v>
      </c>
      <c r="O15" s="755"/>
    </row>
    <row r="16" spans="1:15" ht="13.5" customHeight="1">
      <c r="A16" s="763" t="s">
        <v>2721</v>
      </c>
      <c r="C16" s="764">
        <f>IF(C$8&lt;=$H$4,($E$4/$H$4),0)+IF(C$8&lt;=$H$5,($E$5/$H$5),0)</f>
        <v>10261.666666666666</v>
      </c>
      <c r="D16" s="764">
        <f t="shared" ref="D16:I16" si="1">IF(D$8&lt;=$H$4,($E$4/$H$4),0)+IF(D$8&lt;=$H$5,($E$5/$H$5),0)</f>
        <v>10261.666666666666</v>
      </c>
      <c r="E16" s="764">
        <f t="shared" si="1"/>
        <v>10261.666666666666</v>
      </c>
      <c r="F16" s="764">
        <f t="shared" si="1"/>
        <v>10261.666666666666</v>
      </c>
      <c r="G16" s="764">
        <f t="shared" si="1"/>
        <v>10261.666666666666</v>
      </c>
      <c r="H16" s="764">
        <f t="shared" si="1"/>
        <v>10261.666666666666</v>
      </c>
      <c r="I16" s="764">
        <f t="shared" si="1"/>
        <v>10261.666666666666</v>
      </c>
      <c r="K16" s="750" t="e">
        <f>F44</f>
        <v>#VALUE!</v>
      </c>
      <c r="M16" s="663" t="s">
        <v>2725</v>
      </c>
      <c r="O16" s="755">
        <f>E3</f>
        <v>12135973</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8826162.1818181816</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3309810.8181818184</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1035000</v>
      </c>
      <c r="D21" s="765">
        <f t="shared" ref="D21:I21" si="5">C21</f>
        <v>1035000</v>
      </c>
      <c r="E21" s="765">
        <f t="shared" si="5"/>
        <v>1035000</v>
      </c>
      <c r="F21" s="765">
        <f t="shared" si="5"/>
        <v>1035000</v>
      </c>
      <c r="G21" s="765">
        <f t="shared" si="5"/>
        <v>1035000</v>
      </c>
      <c r="H21" s="765">
        <f t="shared" si="5"/>
        <v>1035000</v>
      </c>
      <c r="I21" s="765">
        <f t="shared" si="5"/>
        <v>1035000</v>
      </c>
      <c r="J21" s="663" t="s">
        <v>233</v>
      </c>
      <c r="K21" s="750" t="e">
        <f>D64</f>
        <v>#VALUE!</v>
      </c>
      <c r="O21" s="755"/>
    </row>
    <row r="22" spans="1:17" ht="13.5" customHeight="1">
      <c r="A22" s="663" t="s">
        <v>2728</v>
      </c>
      <c r="C22" s="765">
        <f>C21</f>
        <v>1035000</v>
      </c>
      <c r="D22" s="765">
        <f t="shared" ref="D22:I22" si="6">D21</f>
        <v>1035000</v>
      </c>
      <c r="E22" s="765">
        <f t="shared" si="6"/>
        <v>1035000</v>
      </c>
      <c r="F22" s="765">
        <f t="shared" si="6"/>
        <v>1035000</v>
      </c>
      <c r="G22" s="765">
        <f t="shared" si="6"/>
        <v>1035000</v>
      </c>
      <c r="H22" s="765">
        <f t="shared" si="6"/>
        <v>1035000</v>
      </c>
      <c r="I22" s="765">
        <f t="shared" si="6"/>
        <v>1035000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3309810.8181818184</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-3309810.8181818184</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15787.872564916332</v>
      </c>
      <c r="D29" s="757">
        <f>'Part VI-Pro Forma'!J33</f>
        <v>14243.537076208006</v>
      </c>
      <c r="E29" s="757">
        <f>'Part VI-Pro Forma'!K33</f>
        <v>12583.526318237273</v>
      </c>
      <c r="F29" s="757">
        <f>'Part VI-Pro Forma'!B65</f>
        <v>10802.744728834237</v>
      </c>
      <c r="G29" s="757">
        <f>'Part VI-Pro Forma'!C65</f>
        <v>8897.9463728819246</v>
      </c>
      <c r="H29" s="757">
        <f>'Part VI-Pro Forma'!D65</f>
        <v>6862.7298810069624</v>
      </c>
      <c r="I29" s="757">
        <f>'Part VI-Pro Forma'!E65</f>
        <v>4692.5332254263631</v>
      </c>
      <c r="N29" s="768"/>
      <c r="O29" s="768"/>
    </row>
    <row r="30" spans="1:17" ht="13.5" customHeight="1">
      <c r="A30" s="663" t="s">
        <v>2716</v>
      </c>
      <c r="C30" s="759">
        <f>'Part VI-Pro Forma'!H40-'Part VI-Pro Forma'!I40</f>
        <v>9237.7283509773551</v>
      </c>
      <c r="D30" s="759">
        <f>'Part VI-Pro Forma'!I40-'Part VI-Pro Forma'!J40</f>
        <v>9856.3961269386928</v>
      </c>
      <c r="E30" s="759">
        <f>'Part VI-Pro Forma'!J40-'Part VI-Pro Forma'!K40</f>
        <v>10516.497229630477</v>
      </c>
      <c r="F30" s="1246">
        <f>'Part VI-Pro Forma'!K40-'Part VI-Pro Forma'!B72</f>
        <v>11220.806525678432</v>
      </c>
      <c r="G30" s="1246">
        <f>'Part VI-Pro Forma'!B72-'Part VI-Pro Forma'!C72</f>
        <v>11972.28471966536</v>
      </c>
      <c r="H30" s="1246">
        <f>'Part VI-Pro Forma'!C72-'Part VI-Pro Forma'!D72</f>
        <v>12774.090800043079</v>
      </c>
      <c r="I30" s="1246">
        <f>'Part VI-Pro Forma'!D72-'Part VI-Pro Forma'!E72</f>
        <v>13629.595318570617</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-661962.16363636369</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-14143.549452386005</v>
      </c>
      <c r="D33" s="1249">
        <f>'Part VI-Pro Forma'!J23</f>
        <v>-14567.855935957583</v>
      </c>
      <c r="E33" s="1249">
        <f>'Part VI-Pro Forma'!K23</f>
        <v>-15004.891614036311</v>
      </c>
      <c r="F33" s="1249">
        <f>'Part VI-Pro Forma'!B55</f>
        <v>-15455.038362457401</v>
      </c>
      <c r="G33" s="1249">
        <f>'Part VI-Pro Forma'!C55</f>
        <v>-15918.689513331123</v>
      </c>
      <c r="H33" s="1249">
        <f>'Part VI-Pro Forma'!D55</f>
        <v>-16396.250198731053</v>
      </c>
      <c r="I33" s="1249">
        <f>'Part VI-Pro Forma'!E55</f>
        <v>-16888.137704692985</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441308.10909090907</v>
      </c>
      <c r="D35" s="764">
        <f t="shared" si="8"/>
        <v>441308.10909090907</v>
      </c>
      <c r="E35" s="764">
        <f t="shared" si="8"/>
        <v>441308.10909090907</v>
      </c>
      <c r="F35" s="764">
        <f t="shared" si="8"/>
        <v>441308.10909090907</v>
      </c>
      <c r="G35" s="764">
        <f t="shared" si="8"/>
        <v>441308.10909090907</v>
      </c>
      <c r="H35" s="764">
        <f t="shared" si="8"/>
        <v>441308.10909090907</v>
      </c>
      <c r="I35" s="764">
        <f t="shared" si="8"/>
        <v>441308.10909090907</v>
      </c>
    </row>
    <row r="36" spans="1:15" ht="13.5" customHeight="1">
      <c r="A36" s="763" t="s">
        <v>2721</v>
      </c>
      <c r="C36" s="757">
        <f>IF(C$28&lt;=$H$4,($E$4/$H$4),0)+IF(C$28&lt;=$H$5,($E$5/$H$5),0)</f>
        <v>10261.666666666666</v>
      </c>
      <c r="D36" s="757">
        <f t="shared" ref="D36:I36" si="9">IF(D$28&lt;=$H$4,($E$4/$H$4),0)+IF(D$28&lt;=$H$5,($E$5/$H$5),0)</f>
        <v>10261.666666666666</v>
      </c>
      <c r="E36" s="757">
        <f t="shared" si="9"/>
        <v>10261.666666666666</v>
      </c>
      <c r="F36" s="757">
        <f t="shared" si="9"/>
        <v>10261.666666666666</v>
      </c>
      <c r="G36" s="757">
        <f t="shared" si="9"/>
        <v>10261.666666666666</v>
      </c>
      <c r="H36" s="757">
        <f t="shared" si="9"/>
        <v>10261.666666666666</v>
      </c>
      <c r="I36" s="757">
        <f t="shared" si="9"/>
        <v>10261.666666666666</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1035000</v>
      </c>
      <c r="D41" s="765">
        <f>C41</f>
        <v>1035000</v>
      </c>
      <c r="E41" s="765">
        <f>D41</f>
        <v>1035000</v>
      </c>
      <c r="F41" s="765">
        <v>0</v>
      </c>
      <c r="G41" s="765">
        <v>0</v>
      </c>
      <c r="H41" s="765">
        <v>0</v>
      </c>
      <c r="I41" s="765">
        <v>0</v>
      </c>
    </row>
    <row r="42" spans="1:15" ht="13.5" customHeight="1">
      <c r="A42" s="663" t="s">
        <v>2728</v>
      </c>
      <c r="C42" s="765">
        <f>C22</f>
        <v>1035000</v>
      </c>
      <c r="D42" s="765">
        <f>C42</f>
        <v>1035000</v>
      </c>
      <c r="E42" s="765">
        <f>D42</f>
        <v>1035000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2380.6283278500414</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14542.394559100503</v>
      </c>
      <c r="D50" s="1247">
        <f>'Part VI-Pro Forma'!F72-'Part VI-Pro Forma'!G72</f>
        <v>15516.325655275141</v>
      </c>
      <c r="E50" s="1247">
        <f>'Part VI-Pro Forma'!G72-'Part VI-Pro Forma'!H72</f>
        <v>16555.482720683503</v>
      </c>
      <c r="F50" s="1247">
        <f>'Part VI-Pro Forma'!H72-'Part VI-Pro Forma'!I72</f>
        <v>17664.234059283801</v>
      </c>
      <c r="G50" s="1247">
        <f>'Part VI-Pro Forma'!I72-'Part VI-Pro Forma'!J72</f>
        <v>18847.240528440394</v>
      </c>
      <c r="H50" s="1247">
        <f>'Part VI-Pro Forma'!J72-'Part VI-Pro Forma'!K72</f>
        <v>20109.475131767453</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-17394.781835833775</v>
      </c>
      <c r="D53" s="1249">
        <f>'Part VI-Pro Forma'!G55</f>
        <v>-17916.625290908793</v>
      </c>
      <c r="E53" s="1249">
        <f>'Part VI-Pro Forma'!H55</f>
        <v>-18454.124049636051</v>
      </c>
      <c r="F53" s="1249">
        <f>'Part VI-Pro Forma'!I55</f>
        <v>-19007.747771125134</v>
      </c>
      <c r="G53" s="1249">
        <f>'Part VI-Pro Forma'!J55</f>
        <v>-19577.980204258889</v>
      </c>
      <c r="H53" s="1249">
        <f>'Part VI-Pro Forma'!K55</f>
        <v>-20165.319610386654</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441308.10909090907</v>
      </c>
      <c r="D55" s="764">
        <f t="shared" si="14"/>
        <v>441308.10909090907</v>
      </c>
      <c r="E55" s="764">
        <f t="shared" si="14"/>
        <v>441308.10909090907</v>
      </c>
      <c r="F55" s="764">
        <f t="shared" si="14"/>
        <v>441308.10909090907</v>
      </c>
      <c r="G55" s="764">
        <f t="shared" si="14"/>
        <v>441308.10909090907</v>
      </c>
      <c r="H55" s="764">
        <f t="shared" si="14"/>
        <v>441308.10909090907</v>
      </c>
    </row>
    <row r="56" spans="1:10" ht="13.5" customHeight="1">
      <c r="A56" s="763" t="s">
        <v>2721</v>
      </c>
      <c r="C56" s="757">
        <f t="shared" ref="C56:H56" si="15">IF(C$48&lt;=$H$4,($E$4/$H$4),0)+IF(C$48&lt;=$H$5,($E$5/$H$5),0)</f>
        <v>10261.666666666666</v>
      </c>
      <c r="D56" s="757">
        <f t="shared" si="15"/>
        <v>841.66666666666663</v>
      </c>
      <c r="E56" s="757">
        <f t="shared" si="15"/>
        <v>841.66666666666663</v>
      </c>
      <c r="F56" s="757">
        <f t="shared" si="15"/>
        <v>841.66666666666663</v>
      </c>
      <c r="G56" s="757">
        <f t="shared" si="15"/>
        <v>841.66666666666663</v>
      </c>
      <c r="H56" s="757">
        <f t="shared" si="15"/>
        <v>841.66666666666663</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AR718"/>
  <sheetViews>
    <sheetView showGridLines="0" tabSelected="1" topLeftCell="A2" zoomScaleNormal="100" workbookViewId="0">
      <selection activeCell="J15" sqref="J15:L15"/>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6312</v>
      </c>
      <c r="C1" s="2243"/>
      <c r="D1" s="2243"/>
      <c r="E1" s="2243"/>
      <c r="F1" s="2243" t="s">
        <v>6313</v>
      </c>
      <c r="G1" s="2243" t="s">
        <v>6314</v>
      </c>
      <c r="H1" s="2243" t="s">
        <v>6315</v>
      </c>
      <c r="I1" s="2243" t="s">
        <v>6316</v>
      </c>
      <c r="J1" s="2243" t="s">
        <v>6317</v>
      </c>
      <c r="K1" s="2243" t="s">
        <v>6318</v>
      </c>
      <c r="L1" s="2243"/>
      <c r="M1" s="2243"/>
      <c r="N1" s="2243" t="s">
        <v>6319</v>
      </c>
      <c r="O1" s="2243" t="s">
        <v>6320</v>
      </c>
      <c r="P1" s="2243" t="s">
        <v>6321</v>
      </c>
      <c r="Z1" s="2245">
        <v>1</v>
      </c>
    </row>
    <row r="2" spans="1:26" s="315" customFormat="1" ht="14.1" customHeight="1">
      <c r="A2" s="3309" t="str">
        <f>CONCATENATE("PART ONE - PROJECT INFORMATION"," - ",$O$7," ",$F$29,", ",'Part I-Project Identification'!F30,", ",'Part I-Project Identification'!J30," County")</f>
        <v>PART ONE - PROJECT INFORMATION - 2022-0 Magnolia Villas, Tifton, Tift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6751</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6748</v>
      </c>
      <c r="B6" s="3324"/>
      <c r="C6" s="3324"/>
      <c r="D6" s="3324"/>
      <c r="F6" s="316"/>
      <c r="G6" s="292" t="s">
        <v>3827</v>
      </c>
      <c r="L6" s="862"/>
      <c r="P6" s="2357" t="s">
        <v>3291</v>
      </c>
      <c r="Z6" s="2246">
        <v>6</v>
      </c>
    </row>
    <row r="7" spans="1:26" s="315" customFormat="1" ht="12" customHeight="1" thickBot="1">
      <c r="A7" s="3324"/>
      <c r="B7" s="3324"/>
      <c r="C7" s="3324"/>
      <c r="D7" s="3324"/>
      <c r="E7" s="1272"/>
      <c r="F7" s="318"/>
      <c r="G7" s="292" t="s">
        <v>6086</v>
      </c>
      <c r="H7" s="1046"/>
      <c r="I7" s="1046"/>
      <c r="J7" s="1046"/>
      <c r="O7" s="3312" t="s">
        <v>6514</v>
      </c>
      <c r="P7" s="3313"/>
      <c r="Q7" s="3354" t="s">
        <v>6642</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3268</v>
      </c>
      <c r="I10" s="3314">
        <f>'Part III-A-Uses of Funds'!$J$191</f>
        <v>1035000</v>
      </c>
      <c r="J10" s="3315"/>
      <c r="L10" s="315" t="s">
        <v>3269</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6943</v>
      </c>
      <c r="G12" s="3319"/>
      <c r="H12" s="3320"/>
      <c r="I12" s="2364" t="s">
        <v>6525</v>
      </c>
      <c r="J12" s="516" t="s">
        <v>6524</v>
      </c>
      <c r="K12" s="326"/>
      <c r="L12" s="1046"/>
      <c r="O12" s="3321" t="s">
        <v>6930</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3674</v>
      </c>
      <c r="D14" s="1664"/>
      <c r="E14" s="2556"/>
      <c r="G14" s="2556"/>
      <c r="H14" s="2556"/>
      <c r="I14" s="2556"/>
      <c r="L14" s="2557"/>
      <c r="Q14" s="3356"/>
      <c r="R14" s="3357"/>
      <c r="S14" s="3358"/>
      <c r="Z14" s="2246">
        <v>14</v>
      </c>
    </row>
    <row r="15" spans="1:26" s="1661" customFormat="1">
      <c r="B15" s="1661" t="s">
        <v>3297</v>
      </c>
      <c r="F15" s="3339" t="s">
        <v>6909</v>
      </c>
      <c r="G15" s="3340"/>
      <c r="H15" s="3341"/>
      <c r="I15" s="2558" t="s">
        <v>1671</v>
      </c>
      <c r="J15" s="3339" t="s">
        <v>7020</v>
      </c>
      <c r="K15" s="3340"/>
      <c r="L15" s="3341"/>
      <c r="M15" s="2559" t="s">
        <v>1839</v>
      </c>
      <c r="N15" s="3342" t="s">
        <v>6931</v>
      </c>
      <c r="O15" s="3343"/>
      <c r="P15" s="3344"/>
      <c r="Q15" s="3356"/>
      <c r="R15" s="3357"/>
      <c r="S15" s="3358"/>
      <c r="Z15" s="2246">
        <v>15</v>
      </c>
    </row>
    <row r="16" spans="1:26" s="1661" customFormat="1">
      <c r="B16" s="1664" t="s">
        <v>1840</v>
      </c>
      <c r="F16" s="3345" t="s">
        <v>6927</v>
      </c>
      <c r="G16" s="3346"/>
      <c r="H16" s="3346"/>
      <c r="I16" s="3346"/>
      <c r="J16" s="3346"/>
      <c r="K16" s="3346"/>
      <c r="L16" s="3347"/>
      <c r="M16" s="3374" t="s">
        <v>3296</v>
      </c>
      <c r="N16" s="3374"/>
      <c r="O16" s="3374"/>
      <c r="P16" s="3374"/>
      <c r="Q16" s="3356"/>
      <c r="R16" s="3357"/>
      <c r="S16" s="3358"/>
      <c r="Z16" s="2246">
        <v>16</v>
      </c>
    </row>
    <row r="17" spans="1:26" s="1661" customFormat="1">
      <c r="B17" s="1664" t="s">
        <v>575</v>
      </c>
      <c r="F17" s="3349" t="s">
        <v>6911</v>
      </c>
      <c r="G17" s="3350"/>
      <c r="H17" s="3351"/>
      <c r="I17" s="2563" t="s">
        <v>1672</v>
      </c>
      <c r="J17" s="2560" t="s">
        <v>781</v>
      </c>
      <c r="K17" s="2566"/>
      <c r="L17" s="2564"/>
      <c r="M17" s="3374"/>
      <c r="N17" s="3374"/>
      <c r="O17" s="3374"/>
      <c r="P17" s="3374"/>
      <c r="Q17" s="3356"/>
      <c r="R17" s="3357"/>
      <c r="S17" s="3358"/>
      <c r="Z17" s="2246">
        <v>17</v>
      </c>
    </row>
    <row r="18" spans="1:26" s="1661" customFormat="1">
      <c r="B18" s="1664" t="s">
        <v>2062</v>
      </c>
      <c r="F18" s="3327">
        <v>366953930</v>
      </c>
      <c r="G18" s="3328"/>
      <c r="H18" s="3329"/>
      <c r="I18" s="2565" t="s">
        <v>1600</v>
      </c>
      <c r="J18" s="3330">
        <v>2513003500</v>
      </c>
      <c r="K18" s="3331"/>
      <c r="L18" s="2561" t="s">
        <v>1599</v>
      </c>
      <c r="M18" s="834"/>
      <c r="N18" s="1664" t="s">
        <v>1601</v>
      </c>
      <c r="O18" s="3332">
        <v>2513381251</v>
      </c>
      <c r="P18" s="3333"/>
      <c r="Q18" s="3356"/>
      <c r="R18" s="3357"/>
      <c r="S18" s="3358"/>
      <c r="Z18" s="2246">
        <v>18</v>
      </c>
    </row>
    <row r="19" spans="1:26" s="1661" customFormat="1">
      <c r="B19" s="1664" t="s">
        <v>1843</v>
      </c>
      <c r="F19" s="3334" t="s">
        <v>7010</v>
      </c>
      <c r="G19" s="3335"/>
      <c r="H19" s="3335"/>
      <c r="I19" s="3335"/>
      <c r="J19" s="3335"/>
      <c r="K19" s="3336"/>
      <c r="N19" s="1664" t="s">
        <v>1838</v>
      </c>
      <c r="O19" s="3337"/>
      <c r="P19" s="3338"/>
      <c r="Q19" s="3356"/>
      <c r="R19" s="3357"/>
      <c r="S19" s="3358"/>
      <c r="Z19" s="2246">
        <v>19</v>
      </c>
    </row>
    <row r="20" spans="1:26" s="1661" customFormat="1">
      <c r="A20" s="2562"/>
      <c r="B20" s="1665" t="s">
        <v>3673</v>
      </c>
      <c r="C20" s="181"/>
      <c r="H20" s="2561"/>
      <c r="J20" s="181"/>
      <c r="P20" s="2561"/>
      <c r="Q20" s="3356"/>
      <c r="R20" s="3357"/>
      <c r="S20" s="3358"/>
      <c r="Z20" s="2246">
        <v>20</v>
      </c>
    </row>
    <row r="21" spans="1:26" s="1661" customFormat="1">
      <c r="B21" s="1661" t="s">
        <v>3297</v>
      </c>
      <c r="F21" s="3339" t="s">
        <v>6909</v>
      </c>
      <c r="G21" s="3340"/>
      <c r="H21" s="3341"/>
      <c r="I21" s="2558" t="s">
        <v>1671</v>
      </c>
      <c r="J21" s="3339" t="s">
        <v>6910</v>
      </c>
      <c r="K21" s="3340"/>
      <c r="L21" s="3341"/>
      <c r="M21" s="2559" t="s">
        <v>1839</v>
      </c>
      <c r="N21" s="3342" t="s">
        <v>6929</v>
      </c>
      <c r="O21" s="3343"/>
      <c r="P21" s="3344"/>
      <c r="Q21" s="3356"/>
      <c r="R21" s="3357"/>
      <c r="S21" s="3358"/>
      <c r="Z21" s="2245">
        <v>21</v>
      </c>
    </row>
    <row r="22" spans="1:26" s="1661" customFormat="1">
      <c r="B22" s="1664" t="s">
        <v>1840</v>
      </c>
      <c r="F22" s="3345" t="s">
        <v>6927</v>
      </c>
      <c r="G22" s="3346"/>
      <c r="H22" s="3346"/>
      <c r="I22" s="3346"/>
      <c r="J22" s="3346"/>
      <c r="K22" s="3346"/>
      <c r="L22" s="3347"/>
      <c r="M22" s="3348" t="s">
        <v>3296</v>
      </c>
      <c r="N22" s="3348"/>
      <c r="O22" s="3348"/>
      <c r="P22" s="3348"/>
      <c r="Q22" s="3356"/>
      <c r="R22" s="3357"/>
      <c r="S22" s="3358"/>
      <c r="Z22" s="2246">
        <v>22</v>
      </c>
    </row>
    <row r="23" spans="1:26" s="1661" customFormat="1">
      <c r="B23" s="1664" t="s">
        <v>575</v>
      </c>
      <c r="F23" s="3349" t="s">
        <v>6911</v>
      </c>
      <c r="G23" s="3350"/>
      <c r="H23" s="3351"/>
      <c r="I23" s="2567" t="s">
        <v>1672</v>
      </c>
      <c r="J23" s="2560" t="s">
        <v>781</v>
      </c>
      <c r="K23" s="2566"/>
      <c r="L23" s="2564"/>
      <c r="M23" s="3348"/>
      <c r="N23" s="3348"/>
      <c r="O23" s="3348"/>
      <c r="P23" s="3348"/>
      <c r="Q23" s="3356"/>
      <c r="R23" s="3357"/>
      <c r="S23" s="3358"/>
      <c r="Z23" s="2246">
        <v>23</v>
      </c>
    </row>
    <row r="24" spans="1:26" s="1661" customFormat="1">
      <c r="B24" s="1664" t="s">
        <v>2062</v>
      </c>
      <c r="F24" s="3327">
        <v>366953930</v>
      </c>
      <c r="G24" s="3328"/>
      <c r="H24" s="3329"/>
      <c r="I24" s="2565" t="s">
        <v>1600</v>
      </c>
      <c r="J24" s="3330">
        <v>2513993599</v>
      </c>
      <c r="K24" s="3331"/>
      <c r="L24" s="2561" t="s">
        <v>1599</v>
      </c>
      <c r="M24" s="834"/>
      <c r="N24" s="1664" t="s">
        <v>1601</v>
      </c>
      <c r="O24" s="3332">
        <v>2513381251</v>
      </c>
      <c r="P24" s="3333"/>
      <c r="Q24" s="3356"/>
      <c r="R24" s="3357"/>
      <c r="S24" s="3358"/>
      <c r="Z24" s="2246">
        <v>24</v>
      </c>
    </row>
    <row r="25" spans="1:26" s="1661" customFormat="1">
      <c r="B25" s="1664" t="s">
        <v>1843</v>
      </c>
      <c r="F25" s="3334" t="s">
        <v>6928</v>
      </c>
      <c r="G25" s="3335"/>
      <c r="H25" s="3335"/>
      <c r="I25" s="3335"/>
      <c r="J25" s="3335"/>
      <c r="K25" s="3336"/>
      <c r="N25" s="1664" t="s">
        <v>1838</v>
      </c>
      <c r="O25" s="3337"/>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6908</v>
      </c>
      <c r="G29" s="3299"/>
      <c r="H29" s="3299"/>
      <c r="I29" s="3300"/>
      <c r="J29" s="3299"/>
      <c r="K29" s="3301"/>
      <c r="M29" s="1034" t="s">
        <v>425</v>
      </c>
      <c r="P29" s="2568" t="s">
        <v>2651</v>
      </c>
      <c r="Q29" s="3356"/>
      <c r="R29" s="3357"/>
      <c r="S29" s="3358"/>
      <c r="Z29" s="2246">
        <v>29</v>
      </c>
    </row>
    <row r="30" spans="1:26" s="315" customFormat="1">
      <c r="A30" s="495"/>
      <c r="B30" s="315" t="s">
        <v>575</v>
      </c>
      <c r="F30" s="3306" t="s">
        <v>2155</v>
      </c>
      <c r="G30" s="3307"/>
      <c r="H30" s="3308"/>
      <c r="I30" s="340" t="s">
        <v>576</v>
      </c>
      <c r="J30" s="3302" t="str">
        <f>IF(F30="","",VLOOKUP(F30,'DCA Underwriting Assumptions'!$T$136:$U$765,2,FALSE))</f>
        <v>Tift</v>
      </c>
      <c r="K30" s="3303"/>
      <c r="M30" s="2618" t="s">
        <v>426</v>
      </c>
      <c r="P30" s="2641" t="s">
        <v>2654</v>
      </c>
      <c r="Q30" s="3356"/>
      <c r="R30" s="3357"/>
      <c r="S30" s="3358"/>
      <c r="U30" s="2562"/>
      <c r="W30" s="1661"/>
      <c r="X30" s="1661"/>
      <c r="Y30" s="1661"/>
      <c r="Z30" s="2246">
        <v>30</v>
      </c>
    </row>
    <row r="31" spans="1:26" s="315" customFormat="1" ht="13.5">
      <c r="A31" s="2120"/>
      <c r="B31" s="1661" t="s">
        <v>3910</v>
      </c>
      <c r="C31" s="330"/>
      <c r="D31" s="331"/>
      <c r="E31" s="331"/>
      <c r="F31" s="3306" t="s">
        <v>6907</v>
      </c>
      <c r="G31" s="3307"/>
      <c r="H31" s="3308"/>
      <c r="I31" s="2617"/>
      <c r="J31" s="515" t="s">
        <v>6728</v>
      </c>
      <c r="K31" s="2617"/>
      <c r="M31" s="1664" t="s">
        <v>6674</v>
      </c>
      <c r="N31" s="1661"/>
      <c r="O31" s="3325">
        <v>8.6140000000000008</v>
      </c>
      <c r="P31" s="3326"/>
      <c r="Q31" s="3356"/>
      <c r="R31" s="3357"/>
      <c r="S31" s="3358"/>
      <c r="Z31" s="2246">
        <v>31</v>
      </c>
    </row>
    <row r="32" spans="1:26" s="315" customFormat="1">
      <c r="A32" s="495"/>
      <c r="B32" s="315" t="s">
        <v>1456</v>
      </c>
      <c r="F32" s="518" t="s">
        <v>2651</v>
      </c>
      <c r="G32" s="2498"/>
      <c r="H32" s="2499"/>
      <c r="I32" s="2640"/>
      <c r="J32" s="1036" t="s">
        <v>2501</v>
      </c>
      <c r="K32" s="2642" t="str">
        <f>IF(F32="Yes","Rural","Urban")</f>
        <v>Rural</v>
      </c>
      <c r="M32" s="1034" t="s">
        <v>2400</v>
      </c>
      <c r="N32" s="2643" t="str">
        <f>VLOOKUP($J$30,'DCA Underwriting Assumptions'!$G$136:$J$295,4)</f>
        <v>Non-MSA</v>
      </c>
      <c r="O32" s="3304" t="str">
        <f>IF($F$30="","",VLOOKUP($J$30,'DCA Underwriting Assumptions'!$G$136:$L$295,3,FALSE))</f>
        <v>Tift Co.</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6661</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6660</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3936</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3292</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formula1>1000000000</formula1>
      <formula2>9999999999</formula2>
    </dataValidation>
    <dataValidation type="list" allowBlank="1" showInputMessage="1" showErrorMessage="1" sqref="H36:H37 D33 P38 I38:I41 D31">
      <formula1>"Yes, No"</formula1>
    </dataValidation>
    <dataValidation type="list" showInputMessage="1" showErrorMessage="1" sqref="F32">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formula1>1000000</formula1>
      <formula2>999999999</formula2>
    </dataValidation>
    <dataValidation type="list" allowBlank="1" showInputMessage="1" showErrorMessage="1" sqref="F31:H31">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Magnolia Villas</v>
      </c>
      <c r="B1" s="4584"/>
      <c r="C1" s="4584"/>
      <c r="D1" s="4584"/>
      <c r="E1" s="4584"/>
      <c r="F1" s="4584"/>
      <c r="G1" s="4584"/>
      <c r="H1" s="4584"/>
      <c r="I1" s="4584"/>
      <c r="J1" s="4584"/>
      <c r="K1" s="4584"/>
    </row>
    <row r="2" spans="1:11" s="1878" customFormat="1" ht="17.45"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6063</v>
      </c>
      <c r="B4" s="4585"/>
      <c r="C4" s="1879"/>
      <c r="D4" s="4585" t="s">
        <v>6064</v>
      </c>
      <c r="E4" s="4585"/>
      <c r="F4" s="1880"/>
      <c r="G4" s="4585" t="s">
        <v>6065</v>
      </c>
      <c r="H4" s="4585"/>
      <c r="I4" s="1880"/>
      <c r="J4" s="4585" t="s">
        <v>6183</v>
      </c>
      <c r="K4" s="4585"/>
    </row>
    <row r="5" spans="1:11" ht="25.9" customHeight="1">
      <c r="A5" s="4586" t="str">
        <f>'Part II-Sources of Funds'!E40</f>
        <v>Sterling Bank</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3318.3571233380594</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3318.3571233380594</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3318.3571233380594</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3318.3571233380594</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3318.3571233380594</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3318.3571233380594</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3318.3571233380594</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3318.3571233380594</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3318.3571233380594</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3318.3571233380594</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3318.3571233380594</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3318.3571233380594</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3318.3571233380594</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3318.3571233380594</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3318.3571233380594</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3318.3571233380594</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3318.3571233380594</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3318.3571233380594</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3318.3571233380594</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3318.3571233380594</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3318.3571233380594</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3318.3571233380594</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3318.3571233380594</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3318.3571233380594</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3318.3571233380594</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3318.3571233380594</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3318.3571233380594</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3318.3571233380594</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3318.3571233380594</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3318.3571233380594</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3318.3571233380594</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3318.3571233380594</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3318.3571233380594</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3318.3571233380594</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3318.3571233380594</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Magnolia Villas</v>
      </c>
      <c r="B1" s="4588"/>
      <c r="C1" s="4588"/>
      <c r="D1" s="4588"/>
      <c r="E1" s="4588"/>
      <c r="F1" s="4588"/>
      <c r="G1" s="4588"/>
      <c r="H1" s="4588"/>
    </row>
    <row r="3" spans="1:13" ht="12" customHeight="1">
      <c r="A3" s="4589" t="s">
        <v>3107</v>
      </c>
      <c r="B3" s="4589"/>
      <c r="C3" s="4589"/>
      <c r="D3" s="4589"/>
      <c r="E3" s="4589"/>
      <c r="F3" s="4589"/>
      <c r="G3" s="4589"/>
      <c r="H3" s="4589"/>
      <c r="I3" s="1302"/>
      <c r="J3" s="4591" t="s">
        <v>3460</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3465</v>
      </c>
      <c r="E11" s="792">
        <f>'Part II-Development Team'!L10</f>
        <v>0</v>
      </c>
    </row>
    <row r="12" spans="1:13" ht="12" customHeight="1">
      <c r="C12" s="774" t="s">
        <v>3461</v>
      </c>
      <c r="E12" s="1303">
        <f>'Part II-Development Team'!H10</f>
        <v>0</v>
      </c>
    </row>
    <row r="13" spans="1:13" ht="12" customHeight="1">
      <c r="C13" s="774" t="s">
        <v>3464</v>
      </c>
      <c r="E13" s="1303">
        <f>'Part II-Development Team'!Q8</f>
        <v>0</v>
      </c>
    </row>
    <row r="14" spans="1:13" ht="3" customHeight="1"/>
    <row r="15" spans="1:13" ht="12" customHeight="1">
      <c r="A15" s="774">
        <v>3</v>
      </c>
      <c r="C15" s="774" t="s">
        <v>2745</v>
      </c>
      <c r="E15" s="792" t="str">
        <f>'Sensitivity Analysis'!C8</f>
        <v>Magnolia Villas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3461</v>
      </c>
      <c r="E22" s="1303">
        <f>'Part II-Development Team'!H97</f>
        <v>0</v>
      </c>
    </row>
    <row r="23" spans="1:8" ht="12" customHeight="1">
      <c r="C23" s="774" t="s">
        <v>3464</v>
      </c>
      <c r="E23" s="1303">
        <f>'Part II-Development Team'!Q95</f>
        <v>0</v>
      </c>
    </row>
    <row r="24" spans="1:8" ht="12" customHeight="1">
      <c r="C24" s="774" t="s">
        <v>3465</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9396368</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3467</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46</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3466</v>
      </c>
    </row>
    <row r="57" spans="1:7" ht="3" customHeight="1">
      <c r="F57" s="783"/>
    </row>
    <row r="58" spans="1:7" ht="12" customHeight="1">
      <c r="A58" s="774">
        <v>19</v>
      </c>
      <c r="C58" s="774" t="s">
        <v>2769</v>
      </c>
      <c r="F58" s="1999">
        <f>'Part VII-Threshold Criteria'!$P$44</f>
        <v>4</v>
      </c>
      <c r="G58" s="774" t="s">
        <v>3108</v>
      </c>
    </row>
    <row r="59" spans="1:7" ht="3" customHeight="1">
      <c r="F59" s="783"/>
    </row>
    <row r="60" spans="1:7" ht="12" customHeight="1">
      <c r="A60" s="774">
        <v>20</v>
      </c>
      <c r="C60" s="774" t="s">
        <v>2770</v>
      </c>
      <c r="F60" s="1311">
        <f>'Subsidy Layering Memo'!$L$70</f>
        <v>292242.73338731588</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6167</v>
      </c>
    </row>
    <row r="64" spans="1:7" ht="12" customHeight="1">
      <c r="E64" s="1312" t="s">
        <v>3109</v>
      </c>
      <c r="F64" s="1313" t="s">
        <v>3110</v>
      </c>
      <c r="G64" s="1312" t="s">
        <v>6168</v>
      </c>
    </row>
    <row r="65" spans="1:7" ht="12" customHeight="1">
      <c r="E65" s="1312" t="s">
        <v>3109</v>
      </c>
      <c r="F65" s="1313" t="s">
        <v>3110</v>
      </c>
      <c r="G65" s="1312" t="s">
        <v>6169</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128285</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54188</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5" t="s">
        <v>2962</v>
      </c>
      <c r="B1" s="4595"/>
      <c r="C1" s="4595"/>
      <c r="D1" s="4595"/>
      <c r="E1" s="4595"/>
      <c r="F1" s="4595"/>
      <c r="G1" s="4595"/>
      <c r="H1" s="4595"/>
      <c r="I1" s="4595"/>
      <c r="J1" s="4595"/>
    </row>
    <row r="2" spans="1:13" ht="15">
      <c r="A2" s="4595" t="str">
        <f>'Sensitivity Analysis'!E8&amp;"  "&amp;'Sensitivity Analysis'!C8</f>
        <v>2022-0  Magnolia Villas</v>
      </c>
      <c r="B2" s="4595"/>
      <c r="C2" s="4595"/>
      <c r="D2" s="4595"/>
      <c r="E2" s="4595"/>
      <c r="F2" s="4595"/>
      <c r="G2" s="4595"/>
      <c r="H2" s="4595"/>
      <c r="I2" s="4595"/>
      <c r="J2" s="4595"/>
    </row>
    <row r="3" spans="1:13" ht="6" customHeight="1">
      <c r="K3" s="4591" t="s">
        <v>3460</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4"/>
      <c r="E13" s="4594"/>
      <c r="F13" s="4594"/>
      <c r="G13" s="4594"/>
      <c r="H13" s="4594"/>
      <c r="I13" s="4594"/>
      <c r="J13" s="4594"/>
    </row>
    <row r="14" spans="1:13" ht="3" customHeight="1">
      <c r="G14" s="711"/>
      <c r="H14" s="780"/>
      <c r="I14" s="780"/>
    </row>
    <row r="15" spans="1:13" ht="12" customHeight="1">
      <c r="A15" s="774" t="s">
        <v>2786</v>
      </c>
      <c r="C15" s="782">
        <f>'Preview term'!E10</f>
        <v>0</v>
      </c>
      <c r="G15" s="711"/>
      <c r="I15" s="780"/>
    </row>
    <row r="16" spans="1:13" ht="12" customHeight="1">
      <c r="A16" s="792" t="s">
        <v>3664</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Magnolia Villas</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6170</v>
      </c>
      <c r="C39" s="4596" t="str">
        <f>_xlfn.CONCAT('Part VII-Threshold Criteria'!K192," and ",'Part VII-Threshold Criteria'!K193)</f>
        <v>Room and Gazebo</v>
      </c>
      <c r="D39" s="4596"/>
      <c r="E39" s="4596"/>
      <c r="F39" s="4596"/>
      <c r="G39" s="4596"/>
      <c r="H39" s="4596"/>
      <c r="I39" s="4596"/>
      <c r="J39" s="4596"/>
    </row>
    <row r="40" spans="1:10" ht="25.5" customHeight="1">
      <c r="A40" s="787" t="s">
        <v>6171</v>
      </c>
      <c r="C40" s="4596"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(Select an amenity from options provided here), (Select an amenity from options provided here),   , ,   , and  </v>
      </c>
      <c r="D40" s="4596"/>
      <c r="E40" s="4596"/>
      <c r="F40" s="4596"/>
      <c r="G40" s="4596"/>
      <c r="H40" s="4596"/>
      <c r="I40" s="4596"/>
      <c r="J40" s="4596"/>
    </row>
    <row r="41" spans="1:10" ht="3" customHeight="1">
      <c r="G41" s="711"/>
      <c r="H41" s="711"/>
      <c r="I41" s="711"/>
    </row>
    <row r="42" spans="1:10" ht="25.5" customHeight="1">
      <c r="A42" s="787" t="s">
        <v>2800</v>
      </c>
      <c r="C42" s="4597" t="s">
        <v>3111</v>
      </c>
      <c r="D42" s="4597"/>
      <c r="E42" s="4597"/>
      <c r="F42" s="4597"/>
      <c r="G42" s="4597"/>
      <c r="H42" s="4597"/>
      <c r="I42" s="4597"/>
      <c r="J42" s="4597"/>
    </row>
    <row r="43" spans="1:10" ht="3" customHeight="1">
      <c r="C43" s="574"/>
      <c r="D43" s="574"/>
      <c r="E43" s="574"/>
      <c r="F43" s="574"/>
      <c r="G43" s="574"/>
      <c r="H43" s="575"/>
      <c r="I43" s="576"/>
      <c r="J43" s="575"/>
    </row>
    <row r="44" spans="1:10" ht="12" customHeight="1">
      <c r="A44" s="774" t="s">
        <v>2801</v>
      </c>
      <c r="C44" s="650" t="str">
        <f>'Part I-Project Identification'!J30</f>
        <v>Tift</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597" t="s">
        <v>533</v>
      </c>
      <c r="D50" s="4597"/>
      <c r="E50" s="4597"/>
      <c r="F50" s="4597"/>
      <c r="G50" s="4597"/>
      <c r="H50" s="4597"/>
      <c r="I50" s="4597"/>
      <c r="J50" s="4597"/>
    </row>
    <row r="51" spans="1:10" ht="12" customHeight="1">
      <c r="C51" s="4600" t="s">
        <v>1678</v>
      </c>
      <c r="D51" s="4600"/>
      <c r="E51" s="4600"/>
      <c r="F51" s="4600"/>
      <c r="G51" s="4600"/>
      <c r="H51" s="4600"/>
      <c r="I51" s="4600"/>
      <c r="J51" s="4600"/>
    </row>
    <row r="52" spans="1:10" ht="3" customHeight="1">
      <c r="D52" s="789"/>
      <c r="E52" s="789"/>
      <c r="F52" s="789"/>
      <c r="G52" s="790"/>
      <c r="H52" s="711"/>
      <c r="I52" s="789"/>
      <c r="J52" s="789"/>
    </row>
    <row r="53" spans="1:10" ht="12" customHeight="1">
      <c r="A53" s="787" t="s">
        <v>2805</v>
      </c>
      <c r="B53" s="787"/>
      <c r="C53" s="791" t="s">
        <v>2806</v>
      </c>
      <c r="D53" s="791" t="s">
        <v>3112</v>
      </c>
      <c r="E53" s="4601"/>
      <c r="F53" s="4601"/>
      <c r="G53" s="4601"/>
      <c r="H53" s="4601"/>
      <c r="I53" s="4601"/>
      <c r="J53" s="4601"/>
    </row>
    <row r="54" spans="1:10" ht="12" customHeight="1">
      <c r="A54" s="787"/>
      <c r="B54" s="787"/>
      <c r="C54" s="787"/>
      <c r="D54" s="791" t="s">
        <v>3113</v>
      </c>
      <c r="E54" s="4602"/>
      <c r="F54" s="4602"/>
      <c r="G54" s="4602"/>
      <c r="H54" s="4602"/>
      <c r="I54" s="4602"/>
      <c r="J54" s="4602"/>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9396368</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4"/>
      <c r="E69" s="4594"/>
      <c r="F69" s="4594"/>
      <c r="G69" s="4594"/>
      <c r="H69" s="4594"/>
      <c r="I69" s="4594"/>
      <c r="J69" s="4594"/>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180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6172</v>
      </c>
      <c r="G84" s="711"/>
    </row>
    <row r="85" spans="1:9" ht="3" customHeight="1">
      <c r="G85" s="711"/>
      <c r="H85" s="711"/>
      <c r="I85" s="711"/>
    </row>
    <row r="86" spans="1:9" ht="12" customHeight="1">
      <c r="A86" s="774" t="s">
        <v>2827</v>
      </c>
      <c r="C86" s="2001">
        <f>'Subsidy Layering Memo'!L70</f>
        <v>292242.73338731588</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Sterling Bank</v>
      </c>
      <c r="I93" s="711"/>
    </row>
    <row r="94" spans="1:9" ht="12" customHeight="1">
      <c r="C94" s="806"/>
      <c r="D94" s="711"/>
      <c r="E94" s="792" t="s">
        <v>1671</v>
      </c>
      <c r="F94" s="4603"/>
      <c r="G94" s="4603"/>
      <c r="H94" s="4603"/>
      <c r="I94" s="711"/>
    </row>
    <row r="95" spans="1:9" ht="12" customHeight="1">
      <c r="C95" s="792"/>
      <c r="D95" s="711"/>
      <c r="E95" s="792" t="s">
        <v>1841</v>
      </c>
      <c r="F95" s="4604"/>
      <c r="G95" s="4604"/>
      <c r="H95" s="4604"/>
      <c r="I95" s="711"/>
    </row>
    <row r="96" spans="1:9" ht="12" customHeight="1">
      <c r="C96" s="792"/>
      <c r="D96" s="711"/>
      <c r="E96" s="792" t="s">
        <v>1673</v>
      </c>
      <c r="F96" s="4599"/>
      <c r="G96" s="4599"/>
      <c r="H96" s="4599"/>
      <c r="I96" s="711"/>
    </row>
    <row r="97" spans="1:10" ht="12" customHeight="1">
      <c r="B97" s="783"/>
      <c r="C97" s="795" t="s">
        <v>2974</v>
      </c>
      <c r="D97" s="711" t="s">
        <v>2833</v>
      </c>
      <c r="E97" s="792" t="str">
        <f>'Part II-Sources of Funds'!E40</f>
        <v>Sterling Bank</v>
      </c>
      <c r="I97" s="711"/>
    </row>
    <row r="98" spans="1:10" ht="12" customHeight="1">
      <c r="C98" s="792"/>
      <c r="D98" s="711"/>
      <c r="E98" s="792" t="s">
        <v>1671</v>
      </c>
      <c r="F98" s="4603"/>
      <c r="G98" s="4603"/>
      <c r="H98" s="4603"/>
      <c r="I98" s="711"/>
    </row>
    <row r="99" spans="1:10" ht="12" customHeight="1">
      <c r="C99" s="792"/>
      <c r="D99" s="711"/>
      <c r="E99" s="792" t="s">
        <v>1841</v>
      </c>
      <c r="F99" s="4604"/>
      <c r="G99" s="4604"/>
      <c r="H99" s="4604"/>
      <c r="I99" s="711"/>
    </row>
    <row r="100" spans="1:10" ht="12" customHeight="1">
      <c r="C100" s="792"/>
      <c r="D100" s="711"/>
      <c r="E100" s="792" t="s">
        <v>1673</v>
      </c>
      <c r="F100" s="4599"/>
      <c r="G100" s="4599"/>
      <c r="H100" s="4599"/>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5"/>
      <c r="E107" s="4605"/>
      <c r="F107" s="4605"/>
      <c r="G107" s="4605"/>
      <c r="H107" s="4605"/>
      <c r="I107" s="4605"/>
      <c r="J107" s="4606"/>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6173</v>
      </c>
      <c r="I114" s="711"/>
    </row>
    <row r="115" spans="1:10" ht="12" customHeight="1">
      <c r="C115" s="781" t="s">
        <v>6174</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3" t="s">
        <v>6175</v>
      </c>
      <c r="F120" s="4593"/>
      <c r="G120" s="4593"/>
      <c r="H120" s="4593"/>
      <c r="I120" s="4593"/>
      <c r="J120" s="4593"/>
    </row>
    <row r="121" spans="1:10" ht="12" customHeight="1">
      <c r="C121" s="711" t="s">
        <v>2844</v>
      </c>
      <c r="D121" s="1269"/>
      <c r="E121" s="4593"/>
      <c r="F121" s="4593"/>
      <c r="G121" s="4593"/>
      <c r="H121" s="4593"/>
      <c r="I121" s="4593"/>
      <c r="J121" s="4593"/>
    </row>
    <row r="122" spans="1:10" ht="12" customHeight="1">
      <c r="C122" s="711" t="s">
        <v>2845</v>
      </c>
      <c r="D122" s="1269"/>
      <c r="E122" s="4593"/>
      <c r="F122" s="4593"/>
      <c r="G122" s="4593"/>
      <c r="H122" s="4593"/>
      <c r="I122" s="4593"/>
      <c r="J122" s="4593"/>
    </row>
    <row r="123" spans="1:10" ht="12" customHeight="1">
      <c r="C123" s="711" t="s">
        <v>2845</v>
      </c>
      <c r="D123" s="1269"/>
      <c r="E123" s="4593"/>
      <c r="F123" s="4593"/>
      <c r="G123" s="4593"/>
      <c r="H123" s="4593"/>
      <c r="I123" s="4593"/>
      <c r="J123" s="459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612401.5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4"/>
      <c r="F166" s="4594"/>
      <c r="G166" s="4594"/>
      <c r="I166" s="711"/>
    </row>
    <row r="167" spans="1:13" ht="3" customHeight="1">
      <c r="E167" s="711"/>
      <c r="G167" s="711"/>
      <c r="I167" s="711"/>
    </row>
    <row r="168" spans="1:13" ht="12" customHeight="1">
      <c r="A168" s="774" t="s">
        <v>2868</v>
      </c>
      <c r="C168" s="774" t="s">
        <v>2869</v>
      </c>
      <c r="E168" s="813">
        <f>'Preview term'!F73</f>
        <v>128285</v>
      </c>
      <c r="G168" s="711"/>
      <c r="I168" s="711"/>
    </row>
    <row r="169" spans="1:13" ht="12" customHeight="1">
      <c r="C169" s="774" t="s">
        <v>3118</v>
      </c>
      <c r="E169" s="4594"/>
      <c r="F169" s="4594"/>
      <c r="G169" s="4594"/>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11500</v>
      </c>
      <c r="F174" s="780" t="s">
        <v>2873</v>
      </c>
      <c r="J174" s="810"/>
      <c r="K174" s="810"/>
      <c r="L174" s="810"/>
      <c r="M174" s="810"/>
    </row>
    <row r="175" spans="1:13">
      <c r="E175" s="813">
        <f>E174/12</f>
        <v>958.33333333333337</v>
      </c>
      <c r="F175" s="711" t="s">
        <v>2738</v>
      </c>
    </row>
    <row r="176" spans="1:13" ht="12" customHeight="1">
      <c r="C176" s="774" t="s">
        <v>3119</v>
      </c>
      <c r="E176" s="4594"/>
      <c r="F176" s="4594"/>
      <c r="G176" s="4594"/>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4"/>
      <c r="G181" s="4594"/>
      <c r="H181" s="4594"/>
      <c r="I181" s="4594"/>
      <c r="J181" s="4594"/>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54188</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2">
        <f>'Part VII-Threshold Criteria'!E372</f>
        <v>0</v>
      </c>
      <c r="G199" s="4592"/>
      <c r="H199" s="4592"/>
      <c r="I199" s="4592"/>
      <c r="J199" s="4592"/>
    </row>
    <row r="200" spans="1:10" ht="9" customHeight="1">
      <c r="G200" s="711"/>
      <c r="H200" s="711"/>
      <c r="I200" s="711"/>
    </row>
    <row r="201" spans="1:10" ht="12" customHeight="1">
      <c r="A201" s="815" t="s">
        <v>2963</v>
      </c>
      <c r="G201" s="711"/>
      <c r="H201" s="711"/>
      <c r="I201" s="799"/>
    </row>
    <row r="202" spans="1:10" ht="25.5" hidden="1" customHeight="1">
      <c r="A202" s="4598" t="str">
        <f>'Subsidy Layering Memo'!A105</f>
        <v>Include any reserve requirements; explain any reserves far in excess of 6 month ODR, 3 mo lease up, 1 year RR, 6 mo T&amp;I standards.</v>
      </c>
      <c r="B202" s="4598"/>
      <c r="C202" s="4598"/>
      <c r="D202" s="4598"/>
      <c r="E202" s="4598"/>
      <c r="F202" s="4598"/>
      <c r="G202" s="4598"/>
      <c r="H202" s="4598"/>
      <c r="I202" s="4598"/>
      <c r="J202" s="4598"/>
    </row>
    <row r="203" spans="1:10">
      <c r="A203" s="711"/>
      <c r="G203" s="711"/>
      <c r="H203" s="711"/>
      <c r="I203" s="711"/>
    </row>
    <row r="204" spans="1:10" s="663" customFormat="1" ht="15">
      <c r="A204" s="669" t="s">
        <v>6159</v>
      </c>
    </row>
    <row r="205" spans="1:10" s="663" customFormat="1" ht="14.25" customHeight="1">
      <c r="A205" s="45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9"/>
      <c r="C205" s="4559"/>
      <c r="D205" s="4559"/>
      <c r="E205" s="4559"/>
      <c r="F205" s="4559"/>
      <c r="G205" s="4559"/>
      <c r="H205" s="4559"/>
      <c r="I205" s="4559"/>
      <c r="J205" s="4559"/>
    </row>
    <row r="206" spans="1:10" s="663" customFormat="1" ht="14.25" customHeight="1">
      <c r="A206" s="4559"/>
      <c r="B206" s="4559"/>
      <c r="C206" s="4559"/>
      <c r="D206" s="4559"/>
      <c r="E206" s="4559"/>
      <c r="F206" s="4559"/>
      <c r="G206" s="4559"/>
      <c r="H206" s="4559"/>
      <c r="I206" s="4559"/>
      <c r="J206" s="4559"/>
    </row>
    <row r="207" spans="1:10" s="663" customFormat="1" ht="6.75" customHeight="1">
      <c r="A207" s="4559"/>
      <c r="B207" s="4559"/>
      <c r="C207" s="4559"/>
      <c r="D207" s="4559"/>
      <c r="E207" s="4559"/>
      <c r="F207" s="4559"/>
      <c r="G207" s="4559"/>
      <c r="H207" s="4559"/>
      <c r="I207" s="4559"/>
      <c r="J207" s="4559"/>
    </row>
    <row r="208" spans="1:10" s="663" customFormat="1" ht="21.75" customHeight="1">
      <c r="A208" s="4559"/>
      <c r="B208" s="4559"/>
      <c r="C208" s="4559"/>
      <c r="D208" s="4559"/>
      <c r="E208" s="4559"/>
      <c r="F208" s="4559"/>
      <c r="G208" s="4559"/>
      <c r="H208" s="4559"/>
      <c r="I208" s="4559"/>
      <c r="J208" s="4559"/>
    </row>
    <row r="209" spans="1:10" s="663" customFormat="1" ht="20.25" customHeight="1">
      <c r="A209" s="4559"/>
      <c r="B209" s="4559"/>
      <c r="C209" s="4559"/>
      <c r="D209" s="4559"/>
      <c r="E209" s="4559"/>
      <c r="F209" s="4559"/>
      <c r="G209" s="4559"/>
      <c r="H209" s="4559"/>
      <c r="I209" s="4559"/>
      <c r="J209" s="4559"/>
    </row>
    <row r="210" spans="1:10" s="663" customFormat="1" ht="54.75" customHeight="1">
      <c r="A210" s="4559"/>
      <c r="B210" s="4559"/>
      <c r="C210" s="4559"/>
      <c r="D210" s="4559"/>
      <c r="E210" s="4559"/>
      <c r="F210" s="4559"/>
      <c r="G210" s="4559"/>
      <c r="H210" s="4559"/>
      <c r="I210" s="4559"/>
      <c r="J210" s="4559"/>
    </row>
    <row r="211" spans="1:10" s="663" customFormat="1" ht="0.75" hidden="1" customHeight="1">
      <c r="A211" s="4559"/>
      <c r="B211" s="4559"/>
      <c r="C211" s="4559"/>
      <c r="D211" s="4559"/>
      <c r="E211" s="4559"/>
      <c r="F211" s="4559"/>
      <c r="G211" s="4559"/>
      <c r="H211" s="4559"/>
      <c r="I211" s="4559"/>
      <c r="J211" s="4559"/>
    </row>
    <row r="212" spans="1:10" s="663" customFormat="1" ht="3.75" hidden="1" customHeight="1">
      <c r="A212" s="4559"/>
      <c r="B212" s="4559"/>
      <c r="C212" s="4559"/>
      <c r="D212" s="4559"/>
      <c r="E212" s="4559"/>
      <c r="F212" s="4559"/>
      <c r="G212" s="4559"/>
      <c r="H212" s="4559"/>
      <c r="I212" s="4559"/>
      <c r="J212" s="4559"/>
    </row>
    <row r="213" spans="1:10" s="663" customFormat="1" ht="5.25" customHeight="1">
      <c r="A213" s="1988"/>
      <c r="B213" s="1988"/>
      <c r="C213" s="1988"/>
      <c r="D213" s="1988"/>
      <c r="E213" s="1988"/>
      <c r="F213" s="1988"/>
      <c r="G213" s="1988"/>
      <c r="H213" s="1988"/>
      <c r="I213" s="1988"/>
      <c r="J213" s="1988"/>
    </row>
    <row r="214" spans="1:10" s="663" customFormat="1" ht="19.5" customHeight="1">
      <c r="A214" s="4558" t="s">
        <v>6162</v>
      </c>
      <c r="B214" s="4558"/>
      <c r="C214" s="4558"/>
      <c r="D214" s="1987"/>
      <c r="E214" s="1987"/>
      <c r="F214" s="1987"/>
      <c r="G214" s="1987"/>
      <c r="H214" s="1987"/>
      <c r="I214" s="1987"/>
      <c r="J214" s="1987"/>
    </row>
    <row r="215" spans="1:10" s="663" customFormat="1" ht="22.5" customHeight="1">
      <c r="A215" s="4555" t="str">
        <f>'Subsidy Layering Memo'!A37</f>
        <v>1)</v>
      </c>
      <c r="B215" s="4555"/>
      <c r="C215" s="4555"/>
      <c r="D215" s="4555"/>
      <c r="E215" s="4555"/>
      <c r="F215" s="4555"/>
      <c r="G215" s="4555"/>
      <c r="H215" s="4555"/>
      <c r="I215" s="4555"/>
      <c r="J215" s="4555"/>
    </row>
    <row r="216" spans="1:10" s="663" customFormat="1" ht="22.5" customHeight="1">
      <c r="A216" s="4555" t="str">
        <f>'Subsidy Layering Memo'!A38</f>
        <v>2)</v>
      </c>
      <c r="B216" s="4555"/>
      <c r="C216" s="4555"/>
      <c r="D216" s="4555"/>
      <c r="E216" s="4555"/>
      <c r="F216" s="4555"/>
      <c r="G216" s="4555"/>
      <c r="H216" s="4555"/>
      <c r="I216" s="4555"/>
      <c r="J216" s="4555"/>
    </row>
    <row r="217" spans="1:10" s="663" customFormat="1" ht="22.5" customHeight="1">
      <c r="A217" s="4555" t="str">
        <f>'Subsidy Layering Memo'!A39</f>
        <v>3)</v>
      </c>
      <c r="B217" s="4555"/>
      <c r="C217" s="4555"/>
      <c r="D217" s="4555"/>
      <c r="E217" s="4555"/>
      <c r="F217" s="4555"/>
      <c r="G217" s="4555"/>
      <c r="H217" s="4555"/>
      <c r="I217" s="4555"/>
      <c r="J217" s="4555"/>
    </row>
    <row r="218" spans="1:10" s="663" customFormat="1" ht="22.5" customHeight="1">
      <c r="A218" s="4555" t="str">
        <f>'Subsidy Layering Memo'!A40</f>
        <v>4)</v>
      </c>
      <c r="B218" s="4555"/>
      <c r="C218" s="4555"/>
      <c r="D218" s="4555"/>
      <c r="E218" s="4555"/>
      <c r="F218" s="4555"/>
      <c r="G218" s="4555"/>
      <c r="H218" s="4555"/>
      <c r="I218" s="4555"/>
      <c r="J218" s="4555"/>
    </row>
    <row r="219" spans="1:10" s="663" customFormat="1" ht="22.5" customHeight="1">
      <c r="A219" s="4555" t="str">
        <f>'Subsidy Layering Memo'!A41</f>
        <v>5)</v>
      </c>
      <c r="B219" s="4555"/>
      <c r="C219" s="4555"/>
      <c r="D219" s="4555"/>
      <c r="E219" s="4555"/>
      <c r="F219" s="4555"/>
      <c r="G219" s="4555"/>
      <c r="H219" s="4555"/>
      <c r="I219" s="4555"/>
      <c r="J219" s="4555"/>
    </row>
    <row r="220" spans="1:10" s="663" customFormat="1" ht="22.5" customHeight="1">
      <c r="A220" s="4555" t="str">
        <f>'Subsidy Layering Memo'!A42</f>
        <v>6)</v>
      </c>
      <c r="B220" s="4555"/>
      <c r="C220" s="4555"/>
      <c r="D220" s="4555"/>
      <c r="E220" s="4555"/>
      <c r="F220" s="4555"/>
      <c r="G220" s="4555"/>
      <c r="H220" s="4555"/>
      <c r="I220" s="4555"/>
      <c r="J220" s="4555"/>
    </row>
    <row r="221" spans="1:10" s="663" customFormat="1" ht="22.5" customHeight="1">
      <c r="A221" s="4555" t="str">
        <f>'Subsidy Layering Memo'!A43</f>
        <v>7)</v>
      </c>
      <c r="B221" s="4555"/>
      <c r="C221" s="4555"/>
      <c r="D221" s="4555"/>
      <c r="E221" s="4555"/>
      <c r="F221" s="4555"/>
      <c r="G221" s="4555"/>
      <c r="H221" s="4555"/>
      <c r="I221" s="4555"/>
      <c r="J221" s="4555"/>
    </row>
    <row r="222" spans="1:10" s="663" customFormat="1" ht="22.5" customHeight="1">
      <c r="A222" s="4555" t="str">
        <f>'Subsidy Layering Memo'!A44</f>
        <v>8)</v>
      </c>
      <c r="B222" s="4555"/>
      <c r="C222" s="4555"/>
      <c r="D222" s="4555"/>
      <c r="E222" s="4555"/>
      <c r="F222" s="4555"/>
      <c r="G222" s="4555"/>
      <c r="H222" s="4555"/>
      <c r="I222" s="4555"/>
      <c r="J222" s="4555"/>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formula1>"&lt;&lt;Select&gt;&gt;, Yes (Federal and State), No"</formula1>
    </dataValidation>
    <dataValidation type="list" allowBlank="1" showInputMessage="1" showErrorMessage="1" sqref="E181">
      <formula1>"&lt;&lt;Select&gt;&gt;, Yes, Other-specify:"</formula1>
    </dataValidation>
    <dataValidation type="list" allowBlank="1" showInputMessage="1" showErrorMessage="1" sqref="C111 C119 D12 E180 C37 D68">
      <formula1>"&lt;&lt;Select&gt;&gt;, Yes, No"</formula1>
    </dataValidation>
    <dataValidation type="list" allowBlank="1" showInputMessage="1" showErrorMessage="1" sqref="C109">
      <formula1>"&lt;&lt;Select&gt;&gt;, Bonded, Letter of Credit, Other - construction loan in lieu of L/C"</formula1>
    </dataValidation>
    <dataValidation type="list" allowBlank="1" showInputMessage="1" showErrorMessage="1" sqref="C107">
      <formula1>"&lt;&lt;Select&gt;&gt;, New Construction, Rehabilitation, Both (explain):"</formula1>
    </dataValidation>
    <dataValidation type="list" allowBlank="1" showInputMessage="1" showErrorMessage="1" sqref="C88">
      <formula1>"&lt;&lt;Select&gt;&gt;, Hard costs only, Hard costs plus acquisition cost, Hard costs plus HOME eligible soft"</formula1>
    </dataValidation>
    <dataValidation type="list" allowBlank="1" showInputMessage="1" showErrorMessage="1" sqref="C73 C87">
      <formula1>"&lt;&lt;Select&gt;&gt;, Construction only, Construction and Permanent"</formula1>
    </dataValidation>
    <dataValidation type="list" allowBlank="1" showInputMessage="1" showErrorMessage="1" sqref="D71">
      <formula1>"&lt;&lt;Select&gt;&gt;, Fully amortizing, Balloon"</formula1>
    </dataValidation>
    <dataValidation type="list" allowBlank="1" showInputMessage="1" showErrorMessage="1" sqref="C67">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6">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3969</v>
      </c>
      <c r="B1" s="1741"/>
      <c r="C1" s="1741"/>
      <c r="D1" s="1741"/>
      <c r="E1" s="1741"/>
      <c r="F1" s="1741"/>
      <c r="G1" s="1741"/>
      <c r="H1" s="1741"/>
    </row>
    <row r="2" spans="1:11" ht="19.5" thickBot="1">
      <c r="A2" s="1741" t="s">
        <v>3970</v>
      </c>
      <c r="B2" s="1741"/>
      <c r="C2" s="1741"/>
      <c r="D2" s="1741"/>
      <c r="E2" s="1741"/>
      <c r="F2" s="1741"/>
      <c r="G2" s="1741"/>
      <c r="H2" s="1741"/>
    </row>
    <row r="3" spans="1:11" ht="15" customHeight="1" thickBot="1">
      <c r="A3" s="1692" t="s">
        <v>3971</v>
      </c>
      <c r="B3" s="1693"/>
      <c r="C3" s="1694"/>
      <c r="D3" s="4666" t="str">
        <f>'Part I-Project Identification'!F29</f>
        <v>Magnolia Villas</v>
      </c>
      <c r="E3" s="4667"/>
      <c r="F3" s="4667"/>
      <c r="G3" s="4667"/>
      <c r="H3" s="4667"/>
      <c r="I3" s="4667"/>
      <c r="J3" s="4668" t="s">
        <v>6176</v>
      </c>
      <c r="K3" s="4669"/>
    </row>
    <row r="4" spans="1:11" ht="15" customHeight="1">
      <c r="A4" s="1696" t="s">
        <v>3972</v>
      </c>
      <c r="B4" s="1697"/>
      <c r="C4" s="1698"/>
      <c r="D4" s="4670" t="e">
        <f>CONCATENATE('Part I-Project Identification'!#REF!,", ",'Part I-Project Identification'!F30,", GA ",'Part I-Project Identification'!#REF!," (",'Part I-Project Identification'!J30," Co.)",)</f>
        <v>#REF!</v>
      </c>
      <c r="E4" s="4671"/>
      <c r="F4" s="4671"/>
      <c r="G4" s="4671"/>
      <c r="H4" s="4671"/>
      <c r="I4" s="4671"/>
      <c r="J4" s="4672" t="s">
        <v>4013</v>
      </c>
      <c r="K4" s="4673"/>
    </row>
    <row r="5" spans="1:11" ht="15" customHeight="1" thickBot="1">
      <c r="A5" s="1699" t="s">
        <v>3973</v>
      </c>
      <c r="B5" s="1700"/>
      <c r="C5" s="1701"/>
      <c r="D5" s="4676"/>
      <c r="E5" s="4677"/>
      <c r="F5" s="4677"/>
      <c r="G5" s="4677"/>
      <c r="H5" s="4677"/>
      <c r="I5" s="4677"/>
      <c r="J5" s="4674"/>
      <c r="K5" s="4675"/>
    </row>
    <row r="6" spans="1:11" ht="9" customHeight="1" thickBot="1">
      <c r="E6" s="1691"/>
    </row>
    <row r="7" spans="1:11">
      <c r="A7" s="4684" t="s">
        <v>3975</v>
      </c>
      <c r="B7" s="4685"/>
      <c r="C7" s="4685"/>
      <c r="D7" s="4685"/>
      <c r="E7" s="4685"/>
      <c r="F7" s="4685"/>
      <c r="G7" s="4685"/>
      <c r="H7" s="4685"/>
      <c r="I7" s="4685"/>
      <c r="J7" s="4685"/>
      <c r="K7" s="4686"/>
    </row>
    <row r="8" spans="1:11" ht="14.25" customHeight="1">
      <c r="A8" s="1717"/>
      <c r="B8" s="1717"/>
      <c r="C8" s="2011">
        <v>1</v>
      </c>
      <c r="D8" s="1718" t="s">
        <v>3976</v>
      </c>
      <c r="E8" s="1718"/>
      <c r="F8" s="1718"/>
      <c r="G8" s="1718"/>
      <c r="H8" s="1718"/>
      <c r="I8" s="1718"/>
      <c r="J8" s="4682"/>
      <c r="K8" s="4683"/>
    </row>
    <row r="9" spans="1:11" ht="7.15" customHeight="1">
      <c r="A9" s="4617"/>
      <c r="B9" s="4617"/>
      <c r="C9" s="4617"/>
      <c r="D9" s="4618"/>
      <c r="E9" s="4618"/>
      <c r="F9" s="4618"/>
      <c r="G9" s="4618"/>
      <c r="H9" s="4618"/>
      <c r="I9" s="4618"/>
      <c r="J9" s="4618"/>
      <c r="K9" s="1719"/>
    </row>
    <row r="10" spans="1:11">
      <c r="A10" s="4687" t="s">
        <v>3977</v>
      </c>
      <c r="B10" s="4688"/>
      <c r="C10" s="4688"/>
      <c r="D10" s="4688"/>
      <c r="E10" s="4688"/>
      <c r="F10" s="4688"/>
      <c r="G10" s="4688"/>
      <c r="H10" s="4688"/>
      <c r="I10" s="4688"/>
      <c r="J10" s="4688"/>
      <c r="K10" s="4689"/>
    </row>
    <row r="11" spans="1:11" ht="14.25" customHeight="1">
      <c r="A11" s="1717"/>
      <c r="B11" s="1717"/>
      <c r="C11" s="2011">
        <v>2</v>
      </c>
      <c r="D11" s="1718" t="s">
        <v>3978</v>
      </c>
      <c r="E11" s="1720"/>
      <c r="F11" s="1720"/>
      <c r="G11" s="1720"/>
      <c r="H11" s="1720"/>
      <c r="I11" s="1720"/>
      <c r="J11" s="4680"/>
      <c r="K11" s="4681"/>
    </row>
    <row r="12" spans="1:11" ht="7.15" customHeight="1">
      <c r="A12" s="4617"/>
      <c r="B12" s="4617"/>
      <c r="C12" s="4617"/>
      <c r="D12" s="4618"/>
      <c r="E12" s="4618"/>
      <c r="F12" s="4618"/>
      <c r="G12" s="4618"/>
      <c r="H12" s="4618"/>
      <c r="I12" s="4618"/>
      <c r="J12" s="4618"/>
      <c r="K12" s="1993"/>
    </row>
    <row r="13" spans="1:11">
      <c r="A13" s="4687" t="s">
        <v>3979</v>
      </c>
      <c r="B13" s="4688"/>
      <c r="C13" s="4688"/>
      <c r="D13" s="4688"/>
      <c r="E13" s="4688"/>
      <c r="F13" s="4688"/>
      <c r="G13" s="4688"/>
      <c r="H13" s="4688"/>
      <c r="I13" s="4688"/>
      <c r="J13" s="4688"/>
      <c r="K13" s="4689"/>
    </row>
    <row r="14" spans="1:11" ht="14.25" customHeight="1">
      <c r="A14" s="1697"/>
      <c r="B14" s="1697"/>
      <c r="C14" s="2012">
        <v>3</v>
      </c>
      <c r="D14" s="1722" t="s">
        <v>3980</v>
      </c>
      <c r="E14" s="1722"/>
      <c r="F14" s="1722"/>
      <c r="G14" s="1722"/>
      <c r="H14" s="1722"/>
      <c r="I14" s="1722"/>
      <c r="J14" s="4678"/>
      <c r="K14" s="4679"/>
    </row>
    <row r="15" spans="1:11" ht="14.25" customHeight="1">
      <c r="A15" s="1697"/>
      <c r="B15" s="1697"/>
      <c r="C15" s="2013">
        <v>4</v>
      </c>
      <c r="D15" s="1697" t="s">
        <v>3981</v>
      </c>
      <c r="E15" s="1697"/>
      <c r="F15" s="1697"/>
      <c r="G15" s="1697"/>
      <c r="H15" s="1697"/>
      <c r="I15" s="1697"/>
      <c r="J15" s="4615"/>
      <c r="K15" s="4616"/>
    </row>
    <row r="16" spans="1:11" ht="14.25" customHeight="1">
      <c r="A16" s="1697"/>
      <c r="B16" s="1697"/>
      <c r="C16" s="2013">
        <v>5</v>
      </c>
      <c r="D16" s="1697" t="s">
        <v>3982</v>
      </c>
      <c r="E16" s="1697"/>
      <c r="F16" s="1697"/>
      <c r="G16" s="1697"/>
      <c r="H16" s="1697"/>
      <c r="I16" s="1697"/>
      <c r="J16" s="4615"/>
      <c r="K16" s="4616"/>
    </row>
    <row r="17" spans="1:13" ht="14.25" customHeight="1">
      <c r="A17" s="1717"/>
      <c r="B17" s="1717"/>
      <c r="C17" s="2014">
        <v>6</v>
      </c>
      <c r="D17" s="1700" t="s">
        <v>3983</v>
      </c>
      <c r="E17" s="1700"/>
      <c r="F17" s="1700"/>
      <c r="G17" s="1700"/>
      <c r="H17" s="1700"/>
      <c r="I17" s="1700"/>
      <c r="J17" s="4613"/>
      <c r="K17" s="4614"/>
    </row>
    <row r="18" spans="1:13" ht="7.15" customHeight="1">
      <c r="A18" s="4617"/>
      <c r="B18" s="4617"/>
      <c r="C18" s="4617"/>
      <c r="D18" s="4618"/>
      <c r="E18" s="4618"/>
      <c r="F18" s="4618"/>
      <c r="G18" s="4618"/>
      <c r="H18" s="4618"/>
      <c r="I18" s="4618"/>
      <c r="J18" s="4618"/>
      <c r="K18" s="1993"/>
    </row>
    <row r="19" spans="1:13" ht="14.25" customHeight="1">
      <c r="A19" s="1697"/>
      <c r="B19" s="1697"/>
      <c r="C19" s="2012">
        <v>7</v>
      </c>
      <c r="D19" s="1722" t="s">
        <v>3984</v>
      </c>
      <c r="E19" s="1722"/>
      <c r="F19" s="1722"/>
      <c r="G19" s="1722"/>
      <c r="H19" s="1722"/>
      <c r="I19" s="1722"/>
      <c r="J19" s="4611" t="str">
        <f>IF(J17="No",J14-J15,IF(J17="Yes",J14-J15-J16,"Error"))</f>
        <v>Error</v>
      </c>
      <c r="K19" s="4612"/>
    </row>
    <row r="20" spans="1:13" ht="14.25" customHeight="1">
      <c r="A20" s="1717"/>
      <c r="B20" s="1717"/>
      <c r="C20" s="2014">
        <v>8</v>
      </c>
      <c r="D20" s="1700" t="s">
        <v>3985</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993"/>
    </row>
    <row r="22" spans="1:13" ht="14.25" customHeight="1" thickBot="1">
      <c r="A22" s="1697"/>
      <c r="B22" s="1697"/>
      <c r="C22" s="2011">
        <v>9</v>
      </c>
      <c r="D22" s="1723" t="s">
        <v>3986</v>
      </c>
      <c r="E22" s="1723"/>
      <c r="F22" s="1723"/>
      <c r="G22" s="1723"/>
      <c r="H22" s="1723"/>
      <c r="I22" s="1723"/>
      <c r="J22" s="4607" t="e">
        <f>J11/J19</f>
        <v>#VALUE!</v>
      </c>
      <c r="K22" s="4608"/>
    </row>
    <row r="23" spans="1:13" ht="9" customHeight="1">
      <c r="A23" s="1989"/>
      <c r="C23" s="1707"/>
      <c r="D23" s="1707"/>
      <c r="E23" s="1707"/>
      <c r="F23" s="1707"/>
      <c r="G23" s="1707"/>
      <c r="H23" s="1707"/>
      <c r="I23" s="1707"/>
      <c r="J23" s="1707"/>
      <c r="K23" s="1708"/>
    </row>
    <row r="24" spans="1:13" ht="18.75">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4017</v>
      </c>
      <c r="B30" s="4655"/>
      <c r="C30" s="4655"/>
      <c r="D30" s="4655"/>
      <c r="E30" s="4655"/>
      <c r="F30" s="4655"/>
      <c r="G30" s="4655"/>
      <c r="H30" s="4655"/>
      <c r="I30" s="4655"/>
      <c r="J30" s="4655"/>
      <c r="K30" s="4656"/>
    </row>
    <row r="31" spans="1:13">
      <c r="A31" s="1715"/>
      <c r="B31" s="4657" t="s">
        <v>6176</v>
      </c>
      <c r="C31" s="4657"/>
      <c r="D31" s="4657"/>
      <c r="E31" s="4657"/>
      <c r="F31" s="4657"/>
      <c r="G31" s="4658" t="s">
        <v>3988</v>
      </c>
      <c r="H31" s="4659"/>
      <c r="I31" s="4659"/>
      <c r="J31" s="4659"/>
      <c r="K31" s="4660"/>
    </row>
    <row r="32" spans="1:13" ht="56.25" customHeight="1">
      <c r="A32" s="1992"/>
      <c r="B32" s="1735" t="s">
        <v>4016</v>
      </c>
      <c r="C32" s="1736" t="s">
        <v>4012</v>
      </c>
      <c r="D32" s="1736" t="s">
        <v>4011</v>
      </c>
      <c r="E32" s="4661" t="s">
        <v>6101</v>
      </c>
      <c r="F32" s="4662"/>
      <c r="G32" s="1737" t="s">
        <v>3989</v>
      </c>
      <c r="H32" s="1737" t="s">
        <v>3990</v>
      </c>
      <c r="J32" s="1737" t="s">
        <v>3991</v>
      </c>
      <c r="K32" s="1737" t="s">
        <v>3992</v>
      </c>
      <c r="L32" s="4663" t="s">
        <v>3993</v>
      </c>
      <c r="M32" s="4663"/>
    </row>
    <row r="33" spans="2:14" ht="12.75" customHeight="1">
      <c r="B33" s="2002"/>
      <c r="C33" s="2003"/>
      <c r="D33" s="2004"/>
      <c r="E33" s="4664"/>
      <c r="F33" s="4665"/>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2005"/>
      <c r="C34" s="2006"/>
      <c r="D34" s="2007"/>
      <c r="E34" s="4645"/>
      <c r="F34" s="4646"/>
      <c r="G34" s="1761" t="e">
        <f t="shared" si="0"/>
        <v>#VALUE!</v>
      </c>
      <c r="H34" s="1762" t="e">
        <f t="shared" ref="H34:H51" si="3">ROUNDUP(G34,0)</f>
        <v>#VALUE!</v>
      </c>
      <c r="I34" s="1759"/>
      <c r="J34" s="1763" t="e">
        <f t="shared" si="1"/>
        <v>#VALUE!</v>
      </c>
      <c r="K34" s="1763" t="e">
        <f t="shared" si="2"/>
        <v>#VALUE!</v>
      </c>
      <c r="L34" s="4663"/>
      <c r="M34" s="4663"/>
    </row>
    <row r="35" spans="2:14" ht="12.75" customHeight="1">
      <c r="B35" s="2005"/>
      <c r="C35" s="2006"/>
      <c r="D35" s="2007"/>
      <c r="E35" s="4645"/>
      <c r="F35" s="4646"/>
      <c r="G35" s="1761" t="e">
        <f t="shared" si="0"/>
        <v>#VALUE!</v>
      </c>
      <c r="H35" s="1762" t="e">
        <f t="shared" si="3"/>
        <v>#VALUE!</v>
      </c>
      <c r="I35" s="1759"/>
      <c r="J35" s="1763" t="e">
        <f t="shared" si="1"/>
        <v>#VALUE!</v>
      </c>
      <c r="K35" s="1763" t="e">
        <f t="shared" si="2"/>
        <v>#VALUE!</v>
      </c>
      <c r="L35" s="4663"/>
      <c r="M35" s="4663"/>
    </row>
    <row r="36" spans="2:14" ht="12.75" customHeight="1">
      <c r="B36" s="2005"/>
      <c r="C36" s="2006"/>
      <c r="D36" s="2007"/>
      <c r="E36" s="4645"/>
      <c r="F36" s="4646"/>
      <c r="G36" s="1761" t="e">
        <f t="shared" si="0"/>
        <v>#VALUE!</v>
      </c>
      <c r="H36" s="1762" t="e">
        <f t="shared" si="3"/>
        <v>#VALUE!</v>
      </c>
      <c r="I36" s="1759"/>
      <c r="J36" s="1763" t="e">
        <f t="shared" si="1"/>
        <v>#VALUE!</v>
      </c>
      <c r="K36" s="1763" t="e">
        <f t="shared" si="2"/>
        <v>#VALUE!</v>
      </c>
      <c r="L36" s="4663"/>
      <c r="M36" s="4663"/>
      <c r="N36" s="1710"/>
    </row>
    <row r="37" spans="2:14" ht="12.75" customHeight="1">
      <c r="B37" s="2005"/>
      <c r="C37" s="2006"/>
      <c r="D37" s="2007"/>
      <c r="E37" s="4645"/>
      <c r="F37" s="4646"/>
      <c r="G37" s="1761" t="e">
        <f t="shared" si="0"/>
        <v>#VALUE!</v>
      </c>
      <c r="H37" s="1762" t="e">
        <f t="shared" si="3"/>
        <v>#VALUE!</v>
      </c>
      <c r="I37" s="1759"/>
      <c r="J37" s="1763" t="e">
        <f t="shared" si="1"/>
        <v>#VALUE!</v>
      </c>
      <c r="K37" s="1763" t="e">
        <f t="shared" si="2"/>
        <v>#VALUE!</v>
      </c>
      <c r="L37" s="4663"/>
      <c r="M37" s="4663"/>
    </row>
    <row r="38" spans="2:14" ht="12.75" customHeight="1">
      <c r="B38" s="2005"/>
      <c r="C38" s="2006"/>
      <c r="D38" s="2007"/>
      <c r="E38" s="4645"/>
      <c r="F38" s="4646"/>
      <c r="G38" s="1761" t="e">
        <f t="shared" si="0"/>
        <v>#VALUE!</v>
      </c>
      <c r="H38" s="1762" t="e">
        <f t="shared" si="3"/>
        <v>#VALUE!</v>
      </c>
      <c r="I38" s="1759"/>
      <c r="J38" s="1763" t="e">
        <f t="shared" si="1"/>
        <v>#VALUE!</v>
      </c>
      <c r="K38" s="1763" t="e">
        <f t="shared" si="2"/>
        <v>#VALUE!</v>
      </c>
      <c r="L38" s="4663"/>
      <c r="M38" s="4663"/>
    </row>
    <row r="39" spans="2:14" ht="12.75" customHeight="1">
      <c r="B39" s="2005"/>
      <c r="C39" s="2006"/>
      <c r="D39" s="2007"/>
      <c r="E39" s="4645"/>
      <c r="F39" s="4646"/>
      <c r="G39" s="1761" t="e">
        <f t="shared" si="0"/>
        <v>#VALUE!</v>
      </c>
      <c r="H39" s="1762" t="e">
        <f t="shared" si="3"/>
        <v>#VALUE!</v>
      </c>
      <c r="I39" s="1759"/>
      <c r="J39" s="1763" t="e">
        <f t="shared" si="1"/>
        <v>#VALUE!</v>
      </c>
      <c r="K39" s="1763" t="e">
        <f t="shared" si="2"/>
        <v>#VALUE!</v>
      </c>
      <c r="L39" s="4663"/>
      <c r="M39" s="4663"/>
    </row>
    <row r="40" spans="2:14" ht="12.75" customHeight="1">
      <c r="B40" s="2005"/>
      <c r="C40" s="2006"/>
      <c r="D40" s="2007"/>
      <c r="E40" s="4645"/>
      <c r="F40" s="4646"/>
      <c r="G40" s="1761" t="e">
        <f t="shared" si="0"/>
        <v>#VALUE!</v>
      </c>
      <c r="H40" s="1762" t="e">
        <f t="shared" si="3"/>
        <v>#VALUE!</v>
      </c>
      <c r="I40" s="1759"/>
      <c r="J40" s="1763" t="e">
        <f t="shared" si="1"/>
        <v>#VALUE!</v>
      </c>
      <c r="K40" s="1763" t="e">
        <f t="shared" si="2"/>
        <v>#VALUE!</v>
      </c>
      <c r="L40" s="4663"/>
      <c r="M40" s="4663"/>
    </row>
    <row r="41" spans="2:14" ht="12.75" customHeight="1">
      <c r="B41" s="2005"/>
      <c r="C41" s="2006"/>
      <c r="D41" s="2007"/>
      <c r="E41" s="4645"/>
      <c r="F41" s="4646"/>
      <c r="G41" s="1761" t="e">
        <f t="shared" si="0"/>
        <v>#VALUE!</v>
      </c>
      <c r="H41" s="1762" t="e">
        <f t="shared" si="3"/>
        <v>#VALUE!</v>
      </c>
      <c r="I41" s="1759"/>
      <c r="J41" s="1763" t="e">
        <f t="shared" si="1"/>
        <v>#VALUE!</v>
      </c>
      <c r="K41" s="1763" t="e">
        <f t="shared" si="2"/>
        <v>#VALUE!</v>
      </c>
      <c r="L41" s="4663"/>
      <c r="M41" s="4663"/>
    </row>
    <row r="42" spans="2:14" ht="12.75" customHeight="1">
      <c r="B42" s="2005"/>
      <c r="C42" s="2006"/>
      <c r="D42" s="2007"/>
      <c r="E42" s="4645"/>
      <c r="F42" s="4646"/>
      <c r="G42" s="1761" t="e">
        <f t="shared" si="0"/>
        <v>#VALUE!</v>
      </c>
      <c r="H42" s="1762" t="e">
        <f t="shared" si="3"/>
        <v>#VALUE!</v>
      </c>
      <c r="I42" s="1759"/>
      <c r="J42" s="1763" t="e">
        <f t="shared" si="1"/>
        <v>#VALUE!</v>
      </c>
      <c r="K42" s="1763" t="e">
        <f t="shared" si="2"/>
        <v>#VALUE!</v>
      </c>
      <c r="L42" s="4663"/>
      <c r="M42" s="4663"/>
    </row>
    <row r="43" spans="2:14" ht="12.75" customHeight="1">
      <c r="B43" s="2005"/>
      <c r="C43" s="2006"/>
      <c r="D43" s="2007"/>
      <c r="E43" s="4645"/>
      <c r="F43" s="4646"/>
      <c r="G43" s="1761" t="e">
        <f t="shared" si="0"/>
        <v>#VALUE!</v>
      </c>
      <c r="H43" s="1762" t="e">
        <f t="shared" si="3"/>
        <v>#VALUE!</v>
      </c>
      <c r="I43" s="1759"/>
      <c r="J43" s="1763" t="e">
        <f t="shared" si="1"/>
        <v>#VALUE!</v>
      </c>
      <c r="K43" s="1763" t="e">
        <f t="shared" si="2"/>
        <v>#VALUE!</v>
      </c>
      <c r="L43" s="4663"/>
      <c r="M43" s="4663"/>
    </row>
    <row r="44" spans="2:14" ht="12.75" customHeight="1">
      <c r="B44" s="2005"/>
      <c r="C44" s="2006"/>
      <c r="D44" s="2007"/>
      <c r="E44" s="4645"/>
      <c r="F44" s="4646"/>
      <c r="G44" s="1761" t="e">
        <f t="shared" si="0"/>
        <v>#VALUE!</v>
      </c>
      <c r="H44" s="1762" t="e">
        <f t="shared" si="3"/>
        <v>#VALUE!</v>
      </c>
      <c r="I44" s="1759"/>
      <c r="J44" s="1763" t="e">
        <f t="shared" si="1"/>
        <v>#VALUE!</v>
      </c>
      <c r="K44" s="1763" t="e">
        <f t="shared" si="2"/>
        <v>#VALUE!</v>
      </c>
      <c r="L44" s="4663"/>
      <c r="M44" s="4663"/>
    </row>
    <row r="45" spans="2:14" ht="12.75" customHeight="1">
      <c r="B45" s="2005"/>
      <c r="C45" s="2006"/>
      <c r="D45" s="2007"/>
      <c r="E45" s="4645"/>
      <c r="F45" s="4646"/>
      <c r="G45" s="1761" t="e">
        <f t="shared" si="0"/>
        <v>#VALUE!</v>
      </c>
      <c r="H45" s="1762" t="e">
        <f t="shared" si="3"/>
        <v>#VALUE!</v>
      </c>
      <c r="I45" s="1759"/>
      <c r="J45" s="1763" t="e">
        <f t="shared" si="1"/>
        <v>#VALUE!</v>
      </c>
      <c r="K45" s="1763" t="e">
        <f t="shared" si="2"/>
        <v>#VALUE!</v>
      </c>
      <c r="L45" s="4663"/>
      <c r="M45" s="4663"/>
    </row>
    <row r="46" spans="2:14" ht="12.75" customHeight="1">
      <c r="B46" s="2005"/>
      <c r="C46" s="2006"/>
      <c r="D46" s="2007"/>
      <c r="E46" s="4645"/>
      <c r="F46" s="4646"/>
      <c r="G46" s="1761" t="e">
        <f t="shared" si="0"/>
        <v>#VALUE!</v>
      </c>
      <c r="H46" s="1762" t="e">
        <f t="shared" si="3"/>
        <v>#VALUE!</v>
      </c>
      <c r="I46" s="1759"/>
      <c r="J46" s="1763" t="e">
        <f t="shared" si="1"/>
        <v>#VALUE!</v>
      </c>
      <c r="K46" s="1763" t="e">
        <f t="shared" si="2"/>
        <v>#VALUE!</v>
      </c>
      <c r="L46" s="4663"/>
      <c r="M46" s="4663"/>
    </row>
    <row r="47" spans="2:14" ht="12.75" customHeight="1">
      <c r="B47" s="2005"/>
      <c r="C47" s="2006"/>
      <c r="D47" s="2007"/>
      <c r="E47" s="4645"/>
      <c r="F47" s="4646"/>
      <c r="G47" s="1761" t="e">
        <f t="shared" si="0"/>
        <v>#VALUE!</v>
      </c>
      <c r="H47" s="1762" t="e">
        <f t="shared" si="3"/>
        <v>#VALUE!</v>
      </c>
      <c r="I47" s="1759"/>
      <c r="J47" s="1763" t="e">
        <f t="shared" si="1"/>
        <v>#VALUE!</v>
      </c>
      <c r="K47" s="1763" t="e">
        <f t="shared" si="2"/>
        <v>#VALUE!</v>
      </c>
      <c r="L47" s="4663"/>
      <c r="M47" s="4663"/>
    </row>
    <row r="48" spans="2:14" ht="12.75" customHeight="1">
      <c r="B48" s="2005"/>
      <c r="C48" s="2006"/>
      <c r="D48" s="2007"/>
      <c r="E48" s="4645"/>
      <c r="F48" s="4646"/>
      <c r="G48" s="1761" t="e">
        <f t="shared" si="0"/>
        <v>#VALUE!</v>
      </c>
      <c r="H48" s="1762" t="e">
        <f t="shared" si="3"/>
        <v>#VALUE!</v>
      </c>
      <c r="I48" s="1759"/>
      <c r="J48" s="1763" t="e">
        <f t="shared" si="1"/>
        <v>#VALUE!</v>
      </c>
      <c r="K48" s="1763" t="e">
        <f t="shared" si="2"/>
        <v>#VALUE!</v>
      </c>
      <c r="L48" s="4663"/>
      <c r="M48" s="4663"/>
    </row>
    <row r="49" spans="1:13" ht="12.75" customHeight="1">
      <c r="B49" s="2005"/>
      <c r="C49" s="2006"/>
      <c r="D49" s="2007"/>
      <c r="E49" s="4645"/>
      <c r="F49" s="4646"/>
      <c r="G49" s="1761" t="e">
        <f t="shared" si="0"/>
        <v>#VALUE!</v>
      </c>
      <c r="H49" s="1762" t="e">
        <f t="shared" si="3"/>
        <v>#VALUE!</v>
      </c>
      <c r="I49" s="1759"/>
      <c r="J49" s="1763" t="e">
        <f t="shared" si="1"/>
        <v>#VALUE!</v>
      </c>
      <c r="K49" s="1763" t="e">
        <f t="shared" si="2"/>
        <v>#VALUE!</v>
      </c>
      <c r="L49" s="4663"/>
      <c r="M49" s="4663"/>
    </row>
    <row r="50" spans="1:13" ht="12.75" customHeight="1">
      <c r="B50" s="2005"/>
      <c r="C50" s="2006"/>
      <c r="D50" s="2007"/>
      <c r="E50" s="4645"/>
      <c r="F50" s="4646"/>
      <c r="G50" s="1761" t="e">
        <f t="shared" si="0"/>
        <v>#VALUE!</v>
      </c>
      <c r="H50" s="1762" t="e">
        <f t="shared" si="3"/>
        <v>#VALUE!</v>
      </c>
      <c r="I50" s="1759"/>
      <c r="J50" s="1763" t="e">
        <f t="shared" si="1"/>
        <v>#VALUE!</v>
      </c>
      <c r="K50" s="1763" t="e">
        <f t="shared" si="2"/>
        <v>#VALUE!</v>
      </c>
      <c r="L50" s="4663"/>
      <c r="M50" s="4663"/>
    </row>
    <row r="51" spans="1:13" ht="12.75" customHeight="1" thickBot="1">
      <c r="B51" s="2008"/>
      <c r="C51" s="2009"/>
      <c r="D51" s="2010"/>
      <c r="E51" s="4647"/>
      <c r="F51" s="4648"/>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3994</v>
      </c>
      <c r="H52" s="1739" t="e">
        <f>SUM(H33:H51)</f>
        <v>#VALUE!</v>
      </c>
      <c r="I52" s="1722"/>
      <c r="J52" s="1728" t="s">
        <v>3995</v>
      </c>
      <c r="K52" s="1724" t="e">
        <f>SUM(K33:K51)</f>
        <v>#VALUE!</v>
      </c>
      <c r="L52" s="4663"/>
      <c r="M52" s="4663"/>
    </row>
    <row r="53" spans="1:13" ht="15" customHeight="1">
      <c r="A53" s="1715"/>
      <c r="B53" s="1990"/>
      <c r="C53" s="4649" t="s">
        <v>3996</v>
      </c>
      <c r="D53" s="4649"/>
      <c r="E53" s="4649"/>
      <c r="F53" s="4649"/>
      <c r="G53" s="4649"/>
      <c r="H53" s="4649"/>
      <c r="I53" s="4649"/>
      <c r="J53" s="4650"/>
      <c r="K53" s="1730" t="str">
        <f>IF(J17="no",0,IF(J17="yes",J16,"Error"))</f>
        <v>Error</v>
      </c>
      <c r="L53" s="4663"/>
      <c r="M53" s="4663"/>
    </row>
    <row r="54" spans="1:13" ht="15" customHeight="1" thickBot="1">
      <c r="A54" s="1715"/>
      <c r="B54" s="1990"/>
      <c r="C54" s="4651" t="s">
        <v>3997</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3998</v>
      </c>
      <c r="B56" s="4621"/>
      <c r="C56" s="4621"/>
      <c r="D56" s="4621"/>
      <c r="E56" s="4621"/>
      <c r="F56" s="4621"/>
      <c r="G56" s="4621"/>
      <c r="H56" s="4621"/>
      <c r="I56" s="4621"/>
      <c r="J56" s="4621"/>
      <c r="K56" s="4622"/>
    </row>
    <row r="57" spans="1:13" ht="48" customHeight="1">
      <c r="A57" s="1712"/>
      <c r="B57" s="1703"/>
      <c r="C57" s="1714" t="s">
        <v>3999</v>
      </c>
      <c r="D57" s="1890" t="s">
        <v>6066</v>
      </c>
      <c r="E57" s="4634" t="s">
        <v>4015</v>
      </c>
      <c r="F57" s="4635"/>
      <c r="G57" s="4636" t="s">
        <v>4000</v>
      </c>
      <c r="H57" s="4637"/>
      <c r="I57" s="4634" t="s">
        <v>4014</v>
      </c>
      <c r="J57" s="4635"/>
      <c r="K57" s="4638"/>
    </row>
    <row r="58" spans="1:13" ht="15" customHeight="1">
      <c r="A58" s="1991"/>
      <c r="B58" s="1887"/>
      <c r="C58" s="1725">
        <f>SUMIF(C33:C51, "0", H33:H51)</f>
        <v>0</v>
      </c>
      <c r="D58" s="1891">
        <f t="shared" ref="D58:D63" si="4">ROUNDUP(C58*1.1,0)</f>
        <v>0</v>
      </c>
      <c r="E58" s="4640" t="s">
        <v>4001</v>
      </c>
      <c r="F58" s="4641"/>
      <c r="G58" s="4642">
        <v>153314.4</v>
      </c>
      <c r="H58" s="4643"/>
      <c r="I58" s="4644">
        <f t="shared" ref="I58:I63" si="5">D58*G58</f>
        <v>0</v>
      </c>
      <c r="J58" s="4644"/>
      <c r="K58" s="4639"/>
    </row>
    <row r="59" spans="1:13">
      <c r="A59" s="1991"/>
      <c r="B59" s="1887"/>
      <c r="C59" s="1726">
        <f>SUMIF(C33:C51, "1", H33:H51)</f>
        <v>0</v>
      </c>
      <c r="D59" s="1892">
        <f t="shared" si="4"/>
        <v>0</v>
      </c>
      <c r="E59" s="4624" t="s">
        <v>2463</v>
      </c>
      <c r="F59" s="4625"/>
      <c r="G59" s="4626">
        <v>175752</v>
      </c>
      <c r="H59" s="4627"/>
      <c r="I59" s="4628">
        <f t="shared" si="5"/>
        <v>0</v>
      </c>
      <c r="J59" s="4628"/>
      <c r="K59" s="4639"/>
    </row>
    <row r="60" spans="1:13" ht="15" customHeight="1">
      <c r="A60" s="1991"/>
      <c r="B60" s="1887"/>
      <c r="C60" s="1726">
        <f>SUMIF(C33:C51, "2", H33:H51)</f>
        <v>0</v>
      </c>
      <c r="D60" s="1892">
        <f t="shared" si="4"/>
        <v>0</v>
      </c>
      <c r="E60" s="4624" t="s">
        <v>2464</v>
      </c>
      <c r="F60" s="4625"/>
      <c r="G60" s="4626">
        <v>213717.6</v>
      </c>
      <c r="H60" s="4627"/>
      <c r="I60" s="4628">
        <f t="shared" si="5"/>
        <v>0</v>
      </c>
      <c r="J60" s="4628"/>
      <c r="K60" s="4639"/>
    </row>
    <row r="61" spans="1:13">
      <c r="A61" s="1991"/>
      <c r="B61" s="1887"/>
      <c r="C61" s="1726">
        <f>SUMIF(C33:C51, "3", H33:H51)</f>
        <v>0</v>
      </c>
      <c r="D61" s="1892">
        <f t="shared" si="4"/>
        <v>0</v>
      </c>
      <c r="E61" s="4624" t="s">
        <v>2467</v>
      </c>
      <c r="F61" s="4625"/>
      <c r="G61" s="4626">
        <v>276482.40000000002</v>
      </c>
      <c r="H61" s="4627"/>
      <c r="I61" s="4628">
        <f t="shared" si="5"/>
        <v>0</v>
      </c>
      <c r="J61" s="4628"/>
      <c r="K61" s="4639"/>
    </row>
    <row r="62" spans="1:13">
      <c r="A62" s="1991"/>
      <c r="B62" s="1887"/>
      <c r="C62" s="1726">
        <f>SUMIF(C33:C51, "4", H33:H51)</f>
        <v>0</v>
      </c>
      <c r="D62" s="1892">
        <f t="shared" si="4"/>
        <v>0</v>
      </c>
      <c r="E62" s="4624" t="s">
        <v>4002</v>
      </c>
      <c r="F62" s="4625"/>
      <c r="G62" s="4626">
        <v>303489.59999999998</v>
      </c>
      <c r="H62" s="4627"/>
      <c r="I62" s="4628">
        <f t="shared" si="5"/>
        <v>0</v>
      </c>
      <c r="J62" s="4628"/>
      <c r="K62" s="4639"/>
    </row>
    <row r="63" spans="1:13">
      <c r="A63" s="1888"/>
      <c r="B63" s="1889"/>
      <c r="C63" s="1727">
        <f>SUMIF(C33:C51, "5", H33:H51)</f>
        <v>0</v>
      </c>
      <c r="D63" s="1893">
        <f t="shared" si="4"/>
        <v>0</v>
      </c>
      <c r="E63" s="4629" t="s">
        <v>4003</v>
      </c>
      <c r="F63" s="4630"/>
      <c r="G63" s="4631">
        <v>303489.59999999998</v>
      </c>
      <c r="H63" s="4632"/>
      <c r="I63" s="4633">
        <f t="shared" si="5"/>
        <v>0</v>
      </c>
      <c r="J63" s="4633"/>
      <c r="K63" s="1754"/>
    </row>
    <row r="64" spans="1:13" ht="17.25" thickBot="1">
      <c r="A64" s="1886" t="s">
        <v>4004</v>
      </c>
      <c r="B64" s="1744">
        <f>SUM(C58:C63)</f>
        <v>0</v>
      </c>
      <c r="C64" s="1894"/>
      <c r="D64" s="1894">
        <f>SUM(D58:D63)</f>
        <v>0</v>
      </c>
      <c r="E64" s="1885"/>
      <c r="F64" s="1885"/>
      <c r="G64" s="1885"/>
      <c r="H64" s="1885"/>
      <c r="I64" s="1885"/>
      <c r="J64" s="1868" t="s">
        <v>4005</v>
      </c>
      <c r="K64" s="1743">
        <f>SUM(I58:I62)</f>
        <v>0</v>
      </c>
    </row>
    <row r="65" spans="1:11">
      <c r="A65" s="4619"/>
      <c r="B65" s="4619"/>
      <c r="C65" s="4619"/>
      <c r="D65" s="4619"/>
      <c r="E65" s="4619"/>
      <c r="F65" s="4619"/>
      <c r="G65" s="4619"/>
      <c r="H65" s="4619"/>
      <c r="I65" s="4619"/>
      <c r="J65" s="4619"/>
    </row>
    <row r="66" spans="1:11">
      <c r="A66" s="4620" t="s">
        <v>4006</v>
      </c>
      <c r="B66" s="4621"/>
      <c r="C66" s="4621"/>
      <c r="D66" s="4621"/>
      <c r="E66" s="4621"/>
      <c r="F66" s="4621"/>
      <c r="G66" s="4621"/>
      <c r="H66" s="4621"/>
      <c r="I66" s="4621"/>
      <c r="J66" s="4621"/>
      <c r="K66" s="4622"/>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7.25" thickBot="1">
      <c r="A69" s="1747"/>
      <c r="B69" s="1704"/>
      <c r="C69" s="1751"/>
      <c r="D69" s="1751"/>
      <c r="E69" s="1751" t="s">
        <v>4009</v>
      </c>
      <c r="F69" s="1751"/>
      <c r="G69" s="1751"/>
      <c r="H69" s="1751"/>
      <c r="I69" s="1751"/>
      <c r="J69" s="1752"/>
      <c r="K69" s="1755">
        <f>K64</f>
        <v>0</v>
      </c>
    </row>
    <row r="70" spans="1:11" ht="17.25" thickBot="1">
      <c r="A70" s="1713"/>
      <c r="B70" s="1705"/>
      <c r="C70" s="4623" t="s">
        <v>4010</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formula1>"0,1,2,3,4,5"</formula1>
    </dataValidation>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3969</v>
      </c>
      <c r="B1" s="1741"/>
      <c r="C1" s="1741"/>
      <c r="D1" s="1741"/>
      <c r="E1" s="1741"/>
      <c r="F1" s="1741"/>
      <c r="G1" s="1741"/>
      <c r="H1" s="1741"/>
    </row>
    <row r="2" spans="1:11" ht="19.5" thickBot="1">
      <c r="A2" s="1741" t="s">
        <v>3970</v>
      </c>
      <c r="B2" s="1741"/>
      <c r="C2" s="1741"/>
      <c r="D2" s="1741"/>
      <c r="E2" s="1741"/>
      <c r="F2" s="1741"/>
      <c r="G2" s="1741"/>
      <c r="H2" s="1741"/>
    </row>
    <row r="3" spans="1:11" ht="15" customHeight="1" thickBot="1">
      <c r="A3" s="1692" t="s">
        <v>3971</v>
      </c>
      <c r="B3" s="1693"/>
      <c r="C3" s="1694"/>
      <c r="D3" s="4666" t="str">
        <f>'Part I-Project Identification'!F29</f>
        <v>Magnolia Villas</v>
      </c>
      <c r="E3" s="4667"/>
      <c r="F3" s="4667"/>
      <c r="G3" s="4667"/>
      <c r="H3" s="4667"/>
      <c r="I3" s="4667"/>
      <c r="J3" s="4707" t="s">
        <v>3974</v>
      </c>
      <c r="K3" s="4708"/>
    </row>
    <row r="4" spans="1:11" ht="15" customHeight="1">
      <c r="A4" s="1696" t="s">
        <v>3972</v>
      </c>
      <c r="B4" s="1697"/>
      <c r="C4" s="1698"/>
      <c r="D4" s="4670" t="e">
        <f>CONCATENATE('Part I-Project Identification'!#REF!,", ",'Part I-Project Identification'!F30,", GA ",'Part I-Project Identification'!#REF!," (",'Part I-Project Identification'!J30," Co.)",)</f>
        <v>#REF!</v>
      </c>
      <c r="E4" s="4671"/>
      <c r="F4" s="4671"/>
      <c r="G4" s="4671"/>
      <c r="H4" s="4671"/>
      <c r="I4" s="4671"/>
      <c r="J4" s="4672" t="s">
        <v>4013</v>
      </c>
      <c r="K4" s="4673"/>
    </row>
    <row r="5" spans="1:11" ht="15" customHeight="1" thickBot="1">
      <c r="A5" s="1699" t="s">
        <v>3973</v>
      </c>
      <c r="B5" s="1700"/>
      <c r="C5" s="1701"/>
      <c r="D5" s="4676"/>
      <c r="E5" s="4677"/>
      <c r="F5" s="4677"/>
      <c r="G5" s="4677"/>
      <c r="H5" s="4677"/>
      <c r="I5" s="4677"/>
      <c r="J5" s="4674"/>
      <c r="K5" s="4675"/>
    </row>
    <row r="6" spans="1:11" ht="9" customHeight="1" thickBot="1">
      <c r="E6" s="1691"/>
    </row>
    <row r="7" spans="1:11">
      <c r="A7" s="4684" t="s">
        <v>3975</v>
      </c>
      <c r="B7" s="4685"/>
      <c r="C7" s="4685"/>
      <c r="D7" s="4685"/>
      <c r="E7" s="4685"/>
      <c r="F7" s="4685"/>
      <c r="G7" s="4685"/>
      <c r="H7" s="4685"/>
      <c r="I7" s="4685"/>
      <c r="J7" s="4685"/>
      <c r="K7" s="4686"/>
    </row>
    <row r="8" spans="1:11" ht="14.25" customHeight="1">
      <c r="A8" s="1717"/>
      <c r="B8" s="1717"/>
      <c r="C8" s="1731">
        <v>1</v>
      </c>
      <c r="D8" s="1718" t="s">
        <v>3976</v>
      </c>
      <c r="E8" s="1718"/>
      <c r="F8" s="1718"/>
      <c r="G8" s="1718"/>
      <c r="H8" s="1718"/>
      <c r="I8" s="1718"/>
      <c r="J8" s="4696"/>
      <c r="K8" s="4697"/>
    </row>
    <row r="9" spans="1:11" ht="7.15" customHeight="1">
      <c r="A9" s="4617"/>
      <c r="B9" s="4617"/>
      <c r="C9" s="4617"/>
      <c r="D9" s="4618"/>
      <c r="E9" s="4618"/>
      <c r="F9" s="4618"/>
      <c r="G9" s="4618"/>
      <c r="H9" s="4618"/>
      <c r="I9" s="4618"/>
      <c r="J9" s="4618"/>
      <c r="K9" s="1719"/>
    </row>
    <row r="10" spans="1:11">
      <c r="A10" s="4687" t="s">
        <v>3977</v>
      </c>
      <c r="B10" s="4688"/>
      <c r="C10" s="4688"/>
      <c r="D10" s="4688"/>
      <c r="E10" s="4688"/>
      <c r="F10" s="4688"/>
      <c r="G10" s="4688"/>
      <c r="H10" s="4688"/>
      <c r="I10" s="4688"/>
      <c r="J10" s="4688"/>
      <c r="K10" s="4689"/>
    </row>
    <row r="11" spans="1:11" ht="14.25" customHeight="1">
      <c r="A11" s="1717"/>
      <c r="B11" s="1717"/>
      <c r="C11" s="1731">
        <v>2</v>
      </c>
      <c r="D11" s="1718" t="s">
        <v>3978</v>
      </c>
      <c r="E11" s="1720"/>
      <c r="F11" s="1720"/>
      <c r="G11" s="1720"/>
      <c r="H11" s="1720"/>
      <c r="I11" s="1720"/>
      <c r="J11" s="4694"/>
      <c r="K11" s="4695"/>
    </row>
    <row r="12" spans="1:11" ht="7.15" customHeight="1">
      <c r="A12" s="4617"/>
      <c r="B12" s="4617"/>
      <c r="C12" s="4617"/>
      <c r="D12" s="4618"/>
      <c r="E12" s="4618"/>
      <c r="F12" s="4618"/>
      <c r="G12" s="4618"/>
      <c r="H12" s="4618"/>
      <c r="I12" s="4618"/>
      <c r="J12" s="4618"/>
      <c r="K12" s="1721"/>
    </row>
    <row r="13" spans="1:11">
      <c r="A13" s="4687" t="s">
        <v>3979</v>
      </c>
      <c r="B13" s="4688"/>
      <c r="C13" s="4688"/>
      <c r="D13" s="4688"/>
      <c r="E13" s="4688"/>
      <c r="F13" s="4688"/>
      <c r="G13" s="4688"/>
      <c r="H13" s="4688"/>
      <c r="I13" s="4688"/>
      <c r="J13" s="4688"/>
      <c r="K13" s="4689"/>
    </row>
    <row r="14" spans="1:11" ht="14.25" customHeight="1">
      <c r="A14" s="1697"/>
      <c r="B14" s="1697"/>
      <c r="C14" s="1732">
        <v>3</v>
      </c>
      <c r="D14" s="1722" t="s">
        <v>3980</v>
      </c>
      <c r="E14" s="1722"/>
      <c r="F14" s="1722"/>
      <c r="G14" s="1722"/>
      <c r="H14" s="1722"/>
      <c r="I14" s="1722"/>
      <c r="J14" s="4692"/>
      <c r="K14" s="4693"/>
    </row>
    <row r="15" spans="1:11" ht="14.25" customHeight="1">
      <c r="A15" s="1697"/>
      <c r="B15" s="1697"/>
      <c r="C15" s="1733">
        <v>4</v>
      </c>
      <c r="D15" s="1697" t="s">
        <v>3981</v>
      </c>
      <c r="E15" s="1697"/>
      <c r="F15" s="1697"/>
      <c r="G15" s="1697"/>
      <c r="H15" s="1697"/>
      <c r="I15" s="1697"/>
      <c r="J15" s="4690"/>
      <c r="K15" s="4691"/>
    </row>
    <row r="16" spans="1:11" ht="14.25" customHeight="1">
      <c r="A16" s="1697"/>
      <c r="B16" s="1697"/>
      <c r="C16" s="1733">
        <v>5</v>
      </c>
      <c r="D16" s="1697" t="s">
        <v>3982</v>
      </c>
      <c r="E16" s="1697"/>
      <c r="F16" s="1697"/>
      <c r="G16" s="1697"/>
      <c r="H16" s="1697"/>
      <c r="I16" s="1697"/>
      <c r="J16" s="4690"/>
      <c r="K16" s="4691"/>
    </row>
    <row r="17" spans="1:13" ht="14.25" customHeight="1">
      <c r="A17" s="1717"/>
      <c r="B17" s="1717"/>
      <c r="C17" s="1734">
        <v>6</v>
      </c>
      <c r="D17" s="1700" t="s">
        <v>3983</v>
      </c>
      <c r="E17" s="1700"/>
      <c r="F17" s="1700"/>
      <c r="G17" s="1700"/>
      <c r="H17" s="1700"/>
      <c r="I17" s="1700"/>
      <c r="J17" s="4698"/>
      <c r="K17" s="4699"/>
    </row>
    <row r="18" spans="1:13" ht="7.15" customHeight="1">
      <c r="A18" s="4617"/>
      <c r="B18" s="4617"/>
      <c r="C18" s="4617"/>
      <c r="D18" s="4618"/>
      <c r="E18" s="4618"/>
      <c r="F18" s="4618"/>
      <c r="G18" s="4618"/>
      <c r="H18" s="4618"/>
      <c r="I18" s="4618"/>
      <c r="J18" s="4618"/>
      <c r="K18" s="1721"/>
    </row>
    <row r="19" spans="1:13" ht="14.25" customHeight="1">
      <c r="A19" s="1697"/>
      <c r="B19" s="1697"/>
      <c r="C19" s="1732">
        <v>7</v>
      </c>
      <c r="D19" s="1722" t="s">
        <v>3984</v>
      </c>
      <c r="E19" s="1722"/>
      <c r="F19" s="1722"/>
      <c r="G19" s="1722"/>
      <c r="H19" s="1722"/>
      <c r="I19" s="1722"/>
      <c r="J19" s="4611" t="str">
        <f>IF(J17="No",J14-J15,IF(J17="Yes",J14-J15-J16,"Error"))</f>
        <v>Error</v>
      </c>
      <c r="K19" s="4612"/>
    </row>
    <row r="20" spans="1:13" ht="14.25" customHeight="1">
      <c r="A20" s="1717"/>
      <c r="B20" s="1717"/>
      <c r="C20" s="1734">
        <v>8</v>
      </c>
      <c r="D20" s="1700" t="s">
        <v>3985</v>
      </c>
      <c r="E20" s="1700"/>
      <c r="F20" s="1700"/>
      <c r="G20" s="1700"/>
      <c r="H20" s="1700"/>
      <c r="I20" s="1700"/>
      <c r="J20" s="4609" t="e">
        <f>ROUNDDOWN(J19/J8,2)</f>
        <v>#VALUE!</v>
      </c>
      <c r="K20" s="4610"/>
    </row>
    <row r="21" spans="1:13" ht="7.15" customHeight="1">
      <c r="A21" s="4617"/>
      <c r="B21" s="4617"/>
      <c r="C21" s="4617"/>
      <c r="D21" s="4618"/>
      <c r="E21" s="4618"/>
      <c r="F21" s="4618"/>
      <c r="G21" s="4618"/>
      <c r="H21" s="4618"/>
      <c r="I21" s="4618"/>
      <c r="J21" s="4618"/>
      <c r="K21" s="1721"/>
    </row>
    <row r="22" spans="1:13" ht="14.25" customHeight="1" thickBot="1">
      <c r="A22" s="1697"/>
      <c r="B22" s="1697"/>
      <c r="C22" s="1731">
        <v>9</v>
      </c>
      <c r="D22" s="1723" t="s">
        <v>3986</v>
      </c>
      <c r="E22" s="1723"/>
      <c r="F22" s="1723"/>
      <c r="G22" s="1723"/>
      <c r="H22" s="1723"/>
      <c r="I22" s="1723"/>
      <c r="J22" s="4607" t="e">
        <f>J11/J19</f>
        <v>#VALUE!</v>
      </c>
      <c r="K22" s="4608"/>
    </row>
    <row r="23" spans="1:13" ht="9" customHeight="1">
      <c r="A23" s="1706"/>
      <c r="C23" s="1707"/>
      <c r="D23" s="1707"/>
      <c r="E23" s="1707"/>
      <c r="F23" s="1707"/>
      <c r="G23" s="1707"/>
      <c r="H23" s="1707"/>
      <c r="I23" s="1707"/>
      <c r="J23" s="1707"/>
      <c r="K23" s="1708"/>
    </row>
    <row r="24" spans="1:13" ht="18.75">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4" t="s">
        <v>4017</v>
      </c>
      <c r="B30" s="4655"/>
      <c r="C30" s="4655"/>
      <c r="D30" s="4655"/>
      <c r="E30" s="4655"/>
      <c r="F30" s="4655"/>
      <c r="G30" s="4655"/>
      <c r="H30" s="4655"/>
      <c r="I30" s="4655"/>
      <c r="J30" s="4655"/>
      <c r="K30" s="4656"/>
    </row>
    <row r="31" spans="1:13">
      <c r="A31" s="1715"/>
      <c r="B31" s="4704" t="s">
        <v>3974</v>
      </c>
      <c r="C31" s="4704"/>
      <c r="D31" s="4704"/>
      <c r="E31" s="4704"/>
      <c r="F31" s="4704"/>
      <c r="G31" s="4658" t="s">
        <v>3988</v>
      </c>
      <c r="H31" s="4659"/>
      <c r="I31" s="4659"/>
      <c r="J31" s="4659"/>
      <c r="K31" s="4660"/>
    </row>
    <row r="32" spans="1:13" ht="56.25" customHeight="1">
      <c r="A32" s="1716"/>
      <c r="B32" s="1735" t="s">
        <v>4016</v>
      </c>
      <c r="C32" s="1736" t="s">
        <v>4012</v>
      </c>
      <c r="D32" s="1736" t="s">
        <v>4011</v>
      </c>
      <c r="E32" s="4661" t="s">
        <v>6101</v>
      </c>
      <c r="F32" s="4662"/>
      <c r="G32" s="1737" t="s">
        <v>3989</v>
      </c>
      <c r="H32" s="1737" t="s">
        <v>3990</v>
      </c>
      <c r="J32" s="1737" t="s">
        <v>3991</v>
      </c>
      <c r="K32" s="1737" t="s">
        <v>3992</v>
      </c>
      <c r="L32" s="4663" t="s">
        <v>3993</v>
      </c>
      <c r="M32" s="4663"/>
    </row>
    <row r="33" spans="2:14" ht="12.75" customHeight="1">
      <c r="B33" s="1904"/>
      <c r="C33" s="1905"/>
      <c r="D33" s="1906"/>
      <c r="E33" s="4705"/>
      <c r="F33" s="4706"/>
      <c r="G33" s="1757" t="e">
        <f t="shared" ref="G33:G51" si="0">$J$22*B33</f>
        <v>#VALUE!</v>
      </c>
      <c r="H33" s="1758" t="e">
        <f>ROUNDUP(G33,0)</f>
        <v>#VALUE!</v>
      </c>
      <c r="I33" s="1759"/>
      <c r="J33" s="1760" t="e">
        <f t="shared" ref="J33:J51" si="1">$J$20*E33</f>
        <v>#VALUE!</v>
      </c>
      <c r="K33" s="1760" t="e">
        <f t="shared" ref="K33:K51" si="2">ROUNDDOWN(J33*H33,0)</f>
        <v>#VALUE!</v>
      </c>
      <c r="L33" s="4663"/>
      <c r="M33" s="4663"/>
    </row>
    <row r="34" spans="2:14" ht="12.75" customHeight="1">
      <c r="B34" s="1907"/>
      <c r="C34" s="1908"/>
      <c r="D34" s="1909"/>
      <c r="E34" s="4702"/>
      <c r="F34" s="4703"/>
      <c r="G34" s="1761" t="e">
        <f t="shared" si="0"/>
        <v>#VALUE!</v>
      </c>
      <c r="H34" s="1762" t="e">
        <f t="shared" ref="H34:H51" si="3">ROUNDUP(G34,0)</f>
        <v>#VALUE!</v>
      </c>
      <c r="I34" s="1759"/>
      <c r="J34" s="1763" t="e">
        <f t="shared" si="1"/>
        <v>#VALUE!</v>
      </c>
      <c r="K34" s="1763" t="e">
        <f t="shared" si="2"/>
        <v>#VALUE!</v>
      </c>
      <c r="L34" s="4663"/>
      <c r="M34" s="4663"/>
    </row>
    <row r="35" spans="2:14" ht="12.75" customHeight="1">
      <c r="B35" s="1907"/>
      <c r="C35" s="1908"/>
      <c r="D35" s="1909"/>
      <c r="E35" s="4702"/>
      <c r="F35" s="4703"/>
      <c r="G35" s="1761" t="e">
        <f t="shared" si="0"/>
        <v>#VALUE!</v>
      </c>
      <c r="H35" s="1762" t="e">
        <f t="shared" si="3"/>
        <v>#VALUE!</v>
      </c>
      <c r="I35" s="1759"/>
      <c r="J35" s="1763" t="e">
        <f t="shared" si="1"/>
        <v>#VALUE!</v>
      </c>
      <c r="K35" s="1763" t="e">
        <f t="shared" si="2"/>
        <v>#VALUE!</v>
      </c>
      <c r="L35" s="4663"/>
      <c r="M35" s="4663"/>
    </row>
    <row r="36" spans="2:14" ht="12.75" customHeight="1">
      <c r="B36" s="1907"/>
      <c r="C36" s="1908"/>
      <c r="D36" s="1909"/>
      <c r="E36" s="4702"/>
      <c r="F36" s="4703"/>
      <c r="G36" s="1761" t="e">
        <f t="shared" si="0"/>
        <v>#VALUE!</v>
      </c>
      <c r="H36" s="1762" t="e">
        <f t="shared" si="3"/>
        <v>#VALUE!</v>
      </c>
      <c r="I36" s="1759"/>
      <c r="J36" s="1763" t="e">
        <f t="shared" si="1"/>
        <v>#VALUE!</v>
      </c>
      <c r="K36" s="1763" t="e">
        <f t="shared" si="2"/>
        <v>#VALUE!</v>
      </c>
      <c r="L36" s="4663"/>
      <c r="M36" s="4663"/>
      <c r="N36" s="1710"/>
    </row>
    <row r="37" spans="2:14" ht="12.75" customHeight="1">
      <c r="B37" s="1907"/>
      <c r="C37" s="1908"/>
      <c r="D37" s="1909"/>
      <c r="E37" s="4702"/>
      <c r="F37" s="4703"/>
      <c r="G37" s="1761" t="e">
        <f t="shared" si="0"/>
        <v>#VALUE!</v>
      </c>
      <c r="H37" s="1762" t="e">
        <f t="shared" si="3"/>
        <v>#VALUE!</v>
      </c>
      <c r="I37" s="1759"/>
      <c r="J37" s="1763" t="e">
        <f t="shared" si="1"/>
        <v>#VALUE!</v>
      </c>
      <c r="K37" s="1763" t="e">
        <f t="shared" si="2"/>
        <v>#VALUE!</v>
      </c>
      <c r="L37" s="4663"/>
      <c r="M37" s="4663"/>
    </row>
    <row r="38" spans="2:14" ht="12.75" customHeight="1">
      <c r="B38" s="1907"/>
      <c r="C38" s="1908"/>
      <c r="D38" s="1909"/>
      <c r="E38" s="4702"/>
      <c r="F38" s="4703"/>
      <c r="G38" s="1761" t="e">
        <f t="shared" si="0"/>
        <v>#VALUE!</v>
      </c>
      <c r="H38" s="1762" t="e">
        <f t="shared" si="3"/>
        <v>#VALUE!</v>
      </c>
      <c r="I38" s="1759"/>
      <c r="J38" s="1763" t="e">
        <f t="shared" si="1"/>
        <v>#VALUE!</v>
      </c>
      <c r="K38" s="1763" t="e">
        <f t="shared" si="2"/>
        <v>#VALUE!</v>
      </c>
      <c r="L38" s="4663"/>
      <c r="M38" s="4663"/>
    </row>
    <row r="39" spans="2:14" ht="12.75" customHeight="1">
      <c r="B39" s="1907"/>
      <c r="C39" s="1908"/>
      <c r="D39" s="1909"/>
      <c r="E39" s="4702"/>
      <c r="F39" s="4703"/>
      <c r="G39" s="1761" t="e">
        <f t="shared" si="0"/>
        <v>#VALUE!</v>
      </c>
      <c r="H39" s="1762" t="e">
        <f t="shared" si="3"/>
        <v>#VALUE!</v>
      </c>
      <c r="I39" s="1759"/>
      <c r="J39" s="1763" t="e">
        <f t="shared" si="1"/>
        <v>#VALUE!</v>
      </c>
      <c r="K39" s="1763" t="e">
        <f t="shared" si="2"/>
        <v>#VALUE!</v>
      </c>
      <c r="L39" s="4663"/>
      <c r="M39" s="4663"/>
    </row>
    <row r="40" spans="2:14" ht="12.75" customHeight="1">
      <c r="B40" s="1907"/>
      <c r="C40" s="1908"/>
      <c r="D40" s="1909"/>
      <c r="E40" s="4702"/>
      <c r="F40" s="4703"/>
      <c r="G40" s="1761" t="e">
        <f t="shared" si="0"/>
        <v>#VALUE!</v>
      </c>
      <c r="H40" s="1762" t="e">
        <f t="shared" si="3"/>
        <v>#VALUE!</v>
      </c>
      <c r="I40" s="1759"/>
      <c r="J40" s="1763" t="e">
        <f t="shared" si="1"/>
        <v>#VALUE!</v>
      </c>
      <c r="K40" s="1763" t="e">
        <f t="shared" si="2"/>
        <v>#VALUE!</v>
      </c>
      <c r="L40" s="4663"/>
      <c r="M40" s="4663"/>
    </row>
    <row r="41" spans="2:14" ht="12.75" customHeight="1">
      <c r="B41" s="1907"/>
      <c r="C41" s="1908"/>
      <c r="D41" s="1909"/>
      <c r="E41" s="4702"/>
      <c r="F41" s="4703"/>
      <c r="G41" s="1761" t="e">
        <f t="shared" si="0"/>
        <v>#VALUE!</v>
      </c>
      <c r="H41" s="1762" t="e">
        <f t="shared" si="3"/>
        <v>#VALUE!</v>
      </c>
      <c r="I41" s="1759"/>
      <c r="J41" s="1763" t="e">
        <f t="shared" si="1"/>
        <v>#VALUE!</v>
      </c>
      <c r="K41" s="1763" t="e">
        <f t="shared" si="2"/>
        <v>#VALUE!</v>
      </c>
      <c r="L41" s="4663"/>
      <c r="M41" s="4663"/>
    </row>
    <row r="42" spans="2:14" ht="12.75" customHeight="1">
      <c r="B42" s="1907"/>
      <c r="C42" s="1908"/>
      <c r="D42" s="1909"/>
      <c r="E42" s="4702"/>
      <c r="F42" s="4703"/>
      <c r="G42" s="1761" t="e">
        <f t="shared" si="0"/>
        <v>#VALUE!</v>
      </c>
      <c r="H42" s="1762" t="e">
        <f>ROUNDUP(G42,0)</f>
        <v>#VALUE!</v>
      </c>
      <c r="I42" s="1759"/>
      <c r="J42" s="1763" t="e">
        <f t="shared" si="1"/>
        <v>#VALUE!</v>
      </c>
      <c r="K42" s="1763" t="e">
        <f t="shared" si="2"/>
        <v>#VALUE!</v>
      </c>
      <c r="L42" s="4663"/>
      <c r="M42" s="4663"/>
    </row>
    <row r="43" spans="2:14" ht="12.75" customHeight="1">
      <c r="B43" s="1907"/>
      <c r="C43" s="1908"/>
      <c r="D43" s="1909"/>
      <c r="E43" s="4702"/>
      <c r="F43" s="4703"/>
      <c r="G43" s="1761" t="e">
        <f t="shared" si="0"/>
        <v>#VALUE!</v>
      </c>
      <c r="H43" s="1762" t="e">
        <f>ROUNDUP(G43,0)</f>
        <v>#VALUE!</v>
      </c>
      <c r="I43" s="1759"/>
      <c r="J43" s="1763" t="e">
        <f t="shared" si="1"/>
        <v>#VALUE!</v>
      </c>
      <c r="K43" s="1763" t="e">
        <f t="shared" si="2"/>
        <v>#VALUE!</v>
      </c>
      <c r="L43" s="4663"/>
      <c r="M43" s="4663"/>
    </row>
    <row r="44" spans="2:14" ht="12.75" customHeight="1">
      <c r="B44" s="1907"/>
      <c r="C44" s="1908"/>
      <c r="D44" s="1909"/>
      <c r="E44" s="4702"/>
      <c r="F44" s="4703"/>
      <c r="G44" s="1761" t="e">
        <f t="shared" si="0"/>
        <v>#VALUE!</v>
      </c>
      <c r="H44" s="1762" t="e">
        <f>ROUNDUP(G44,0)</f>
        <v>#VALUE!</v>
      </c>
      <c r="I44" s="1759"/>
      <c r="J44" s="1763" t="e">
        <f t="shared" si="1"/>
        <v>#VALUE!</v>
      </c>
      <c r="K44" s="1763" t="e">
        <f t="shared" si="2"/>
        <v>#VALUE!</v>
      </c>
      <c r="L44" s="4663"/>
      <c r="M44" s="4663"/>
    </row>
    <row r="45" spans="2:14" ht="12.75" customHeight="1">
      <c r="B45" s="1907"/>
      <c r="C45" s="1908"/>
      <c r="D45" s="1909"/>
      <c r="E45" s="4702"/>
      <c r="F45" s="4703"/>
      <c r="G45" s="1761" t="e">
        <f t="shared" si="0"/>
        <v>#VALUE!</v>
      </c>
      <c r="H45" s="1762" t="e">
        <f>ROUNDUP(G45,0)</f>
        <v>#VALUE!</v>
      </c>
      <c r="I45" s="1759"/>
      <c r="J45" s="1763" t="e">
        <f t="shared" si="1"/>
        <v>#VALUE!</v>
      </c>
      <c r="K45" s="1763" t="e">
        <f t="shared" si="2"/>
        <v>#VALUE!</v>
      </c>
      <c r="L45" s="4663"/>
      <c r="M45" s="4663"/>
    </row>
    <row r="46" spans="2:14" ht="12.75" customHeight="1">
      <c r="B46" s="1907"/>
      <c r="C46" s="1908"/>
      <c r="D46" s="1909"/>
      <c r="E46" s="4702"/>
      <c r="F46" s="4703"/>
      <c r="G46" s="1761" t="e">
        <f t="shared" si="0"/>
        <v>#VALUE!</v>
      </c>
      <c r="H46" s="1762" t="e">
        <f t="shared" si="3"/>
        <v>#VALUE!</v>
      </c>
      <c r="I46" s="1759"/>
      <c r="J46" s="1763" t="e">
        <f t="shared" si="1"/>
        <v>#VALUE!</v>
      </c>
      <c r="K46" s="1763" t="e">
        <f t="shared" si="2"/>
        <v>#VALUE!</v>
      </c>
      <c r="L46" s="4663"/>
      <c r="M46" s="4663"/>
    </row>
    <row r="47" spans="2:14" ht="12.75" customHeight="1">
      <c r="B47" s="1907"/>
      <c r="C47" s="1908"/>
      <c r="D47" s="1909"/>
      <c r="E47" s="4702"/>
      <c r="F47" s="4703"/>
      <c r="G47" s="1761" t="e">
        <f t="shared" si="0"/>
        <v>#VALUE!</v>
      </c>
      <c r="H47" s="1762" t="e">
        <f t="shared" si="3"/>
        <v>#VALUE!</v>
      </c>
      <c r="I47" s="1759"/>
      <c r="J47" s="1763" t="e">
        <f t="shared" si="1"/>
        <v>#VALUE!</v>
      </c>
      <c r="K47" s="1763" t="e">
        <f t="shared" si="2"/>
        <v>#VALUE!</v>
      </c>
      <c r="L47" s="4663"/>
      <c r="M47" s="4663"/>
    </row>
    <row r="48" spans="2:14" ht="12.75" customHeight="1">
      <c r="B48" s="1907"/>
      <c r="C48" s="1908"/>
      <c r="D48" s="1909"/>
      <c r="E48" s="4702"/>
      <c r="F48" s="4703"/>
      <c r="G48" s="1761" t="e">
        <f t="shared" si="0"/>
        <v>#VALUE!</v>
      </c>
      <c r="H48" s="1762" t="e">
        <f>ROUNDUP(G48,0)</f>
        <v>#VALUE!</v>
      </c>
      <c r="I48" s="1759"/>
      <c r="J48" s="1763" t="e">
        <f t="shared" si="1"/>
        <v>#VALUE!</v>
      </c>
      <c r="K48" s="1763" t="e">
        <f t="shared" si="2"/>
        <v>#VALUE!</v>
      </c>
      <c r="L48" s="4663"/>
      <c r="M48" s="4663"/>
    </row>
    <row r="49" spans="1:13" ht="12.75" customHeight="1">
      <c r="B49" s="1907"/>
      <c r="C49" s="1908"/>
      <c r="D49" s="1909"/>
      <c r="E49" s="4702"/>
      <c r="F49" s="4703"/>
      <c r="G49" s="1761" t="e">
        <f t="shared" si="0"/>
        <v>#VALUE!</v>
      </c>
      <c r="H49" s="1762" t="e">
        <f t="shared" si="3"/>
        <v>#VALUE!</v>
      </c>
      <c r="I49" s="1759"/>
      <c r="J49" s="1763" t="e">
        <f t="shared" si="1"/>
        <v>#VALUE!</v>
      </c>
      <c r="K49" s="1763" t="e">
        <f t="shared" si="2"/>
        <v>#VALUE!</v>
      </c>
      <c r="L49" s="4663"/>
      <c r="M49" s="4663"/>
    </row>
    <row r="50" spans="1:13" ht="12.75" customHeight="1">
      <c r="B50" s="1907"/>
      <c r="C50" s="1908"/>
      <c r="D50" s="1909"/>
      <c r="E50" s="4702"/>
      <c r="F50" s="4703"/>
      <c r="G50" s="1761" t="e">
        <f t="shared" si="0"/>
        <v>#VALUE!</v>
      </c>
      <c r="H50" s="1762" t="e">
        <f t="shared" si="3"/>
        <v>#VALUE!</v>
      </c>
      <c r="I50" s="1759"/>
      <c r="J50" s="1763" t="e">
        <f t="shared" si="1"/>
        <v>#VALUE!</v>
      </c>
      <c r="K50" s="1763" t="e">
        <f t="shared" si="2"/>
        <v>#VALUE!</v>
      </c>
      <c r="L50" s="4663"/>
      <c r="M50" s="4663"/>
    </row>
    <row r="51" spans="1:13" ht="12.75" customHeight="1" thickBot="1">
      <c r="B51" s="1910"/>
      <c r="C51" s="1911"/>
      <c r="D51" s="1912"/>
      <c r="E51" s="4700"/>
      <c r="F51" s="4701"/>
      <c r="G51" s="1764" t="e">
        <f t="shared" si="0"/>
        <v>#VALUE!</v>
      </c>
      <c r="H51" s="1765" t="e">
        <f t="shared" si="3"/>
        <v>#VALUE!</v>
      </c>
      <c r="I51" s="1759"/>
      <c r="J51" s="1766" t="e">
        <f t="shared" si="1"/>
        <v>#VALUE!</v>
      </c>
      <c r="K51" s="1766" t="e">
        <f t="shared" si="2"/>
        <v>#VALUE!</v>
      </c>
      <c r="L51" s="4663"/>
      <c r="M51" s="4663"/>
    </row>
    <row r="52" spans="1:13" ht="15" customHeight="1" thickBot="1">
      <c r="A52" s="1715"/>
      <c r="B52" s="1728"/>
      <c r="D52" s="1722"/>
      <c r="E52" s="1722"/>
      <c r="F52" s="1722"/>
      <c r="G52" s="1740" t="s">
        <v>3994</v>
      </c>
      <c r="H52" s="1739" t="e">
        <f>SUM(H33:H51)</f>
        <v>#VALUE!</v>
      </c>
      <c r="I52" s="1722"/>
      <c r="J52" s="1728" t="s">
        <v>3995</v>
      </c>
      <c r="K52" s="1724" t="e">
        <f>SUM(K33:K51)</f>
        <v>#VALUE!</v>
      </c>
      <c r="L52" s="4663"/>
      <c r="M52" s="4663"/>
    </row>
    <row r="53" spans="1:13" ht="15" customHeight="1">
      <c r="A53" s="1715"/>
      <c r="B53" s="1729"/>
      <c r="C53" s="4649" t="s">
        <v>3996</v>
      </c>
      <c r="D53" s="4649"/>
      <c r="E53" s="4649"/>
      <c r="F53" s="4649"/>
      <c r="G53" s="4649"/>
      <c r="H53" s="4649"/>
      <c r="I53" s="4649"/>
      <c r="J53" s="4650"/>
      <c r="K53" s="1730" t="str">
        <f>IF(J17="no",0,IF(J17="yes",J16,"Error"))</f>
        <v>Error</v>
      </c>
      <c r="L53" s="4663"/>
      <c r="M53" s="4663"/>
    </row>
    <row r="54" spans="1:13" ht="15" customHeight="1" thickBot="1">
      <c r="A54" s="1715"/>
      <c r="B54" s="1729"/>
      <c r="C54" s="4651" t="s">
        <v>3997</v>
      </c>
      <c r="D54" s="4651"/>
      <c r="E54" s="4651"/>
      <c r="F54" s="4651"/>
      <c r="G54" s="4651"/>
      <c r="H54" s="4651"/>
      <c r="I54" s="4651"/>
      <c r="J54" s="4652"/>
      <c r="K54" s="1742" t="e">
        <f>K52+K53</f>
        <v>#VALUE!</v>
      </c>
    </row>
    <row r="55" spans="1:13" ht="7.9" customHeight="1">
      <c r="A55" s="4653"/>
      <c r="B55" s="4619"/>
      <c r="C55" s="4619"/>
      <c r="D55" s="4619"/>
      <c r="E55" s="4619"/>
      <c r="F55" s="4619"/>
      <c r="G55" s="4619"/>
      <c r="H55" s="4619"/>
      <c r="I55" s="4619"/>
      <c r="J55" s="4619"/>
      <c r="K55" s="1756"/>
    </row>
    <row r="56" spans="1:13" ht="15" customHeight="1">
      <c r="A56" s="4620" t="s">
        <v>3998</v>
      </c>
      <c r="B56" s="4621"/>
      <c r="C56" s="4621"/>
      <c r="D56" s="4621"/>
      <c r="E56" s="4621"/>
      <c r="F56" s="4621"/>
      <c r="G56" s="4621"/>
      <c r="H56" s="4621"/>
      <c r="I56" s="4621"/>
      <c r="J56" s="4621"/>
      <c r="K56" s="4622"/>
    </row>
    <row r="57" spans="1:13" ht="48" customHeight="1">
      <c r="A57" s="1712"/>
      <c r="B57" s="1703"/>
      <c r="C57" s="1714" t="s">
        <v>3999</v>
      </c>
      <c r="D57" s="1890" t="s">
        <v>6066</v>
      </c>
      <c r="E57" s="4634" t="s">
        <v>4015</v>
      </c>
      <c r="F57" s="4635"/>
      <c r="G57" s="4636" t="s">
        <v>4000</v>
      </c>
      <c r="H57" s="4637"/>
      <c r="I57" s="4634" t="s">
        <v>4014</v>
      </c>
      <c r="J57" s="4635"/>
      <c r="K57" s="4638"/>
    </row>
    <row r="58" spans="1:13" ht="15" customHeight="1">
      <c r="A58" s="1867"/>
      <c r="B58" s="1887"/>
      <c r="C58" s="1725">
        <f>SUMIF(C33:C51, "0", H33:H51)</f>
        <v>0</v>
      </c>
      <c r="D58" s="1891">
        <f t="shared" ref="D58:D63" si="4">ROUNDUP(C58*1.1,0)</f>
        <v>0</v>
      </c>
      <c r="E58" s="4640" t="s">
        <v>4001</v>
      </c>
      <c r="F58" s="4641"/>
      <c r="G58" s="4642">
        <v>153314.4</v>
      </c>
      <c r="H58" s="4643"/>
      <c r="I58" s="4644">
        <f t="shared" ref="I58:I63" si="5">D58*G58</f>
        <v>0</v>
      </c>
      <c r="J58" s="4644"/>
      <c r="K58" s="4639"/>
    </row>
    <row r="59" spans="1:13">
      <c r="A59" s="1867"/>
      <c r="B59" s="1887"/>
      <c r="C59" s="1726">
        <f>SUMIF(C33:C51, "1", H33:H51)</f>
        <v>0</v>
      </c>
      <c r="D59" s="1892">
        <f t="shared" si="4"/>
        <v>0</v>
      </c>
      <c r="E59" s="4624" t="s">
        <v>2463</v>
      </c>
      <c r="F59" s="4625"/>
      <c r="G59" s="4626">
        <v>175752</v>
      </c>
      <c r="H59" s="4627"/>
      <c r="I59" s="4628">
        <f t="shared" si="5"/>
        <v>0</v>
      </c>
      <c r="J59" s="4628"/>
      <c r="K59" s="4639"/>
    </row>
    <row r="60" spans="1:13" ht="15" customHeight="1">
      <c r="A60" s="1867"/>
      <c r="B60" s="1887"/>
      <c r="C60" s="1726">
        <f>SUMIF(C33:C51, "2", H33:H51)</f>
        <v>0</v>
      </c>
      <c r="D60" s="1892">
        <f t="shared" si="4"/>
        <v>0</v>
      </c>
      <c r="E60" s="4624" t="s">
        <v>2464</v>
      </c>
      <c r="F60" s="4625"/>
      <c r="G60" s="4626">
        <v>213717.6</v>
      </c>
      <c r="H60" s="4627"/>
      <c r="I60" s="4628">
        <f t="shared" si="5"/>
        <v>0</v>
      </c>
      <c r="J60" s="4628"/>
      <c r="K60" s="4639"/>
    </row>
    <row r="61" spans="1:13">
      <c r="A61" s="1867"/>
      <c r="B61" s="1887"/>
      <c r="C61" s="1726">
        <f>SUMIF(C33:C51, "3", H33:H51)</f>
        <v>0</v>
      </c>
      <c r="D61" s="1892">
        <f t="shared" si="4"/>
        <v>0</v>
      </c>
      <c r="E61" s="4624" t="s">
        <v>2467</v>
      </c>
      <c r="F61" s="4625"/>
      <c r="G61" s="4626">
        <v>276482.40000000002</v>
      </c>
      <c r="H61" s="4627"/>
      <c r="I61" s="4628">
        <f t="shared" si="5"/>
        <v>0</v>
      </c>
      <c r="J61" s="4628"/>
      <c r="K61" s="4639"/>
    </row>
    <row r="62" spans="1:13">
      <c r="A62" s="1867"/>
      <c r="B62" s="1887"/>
      <c r="C62" s="1726">
        <f>SUMIF(C33:C51, "4", H33:H51)</f>
        <v>0</v>
      </c>
      <c r="D62" s="1892">
        <f t="shared" si="4"/>
        <v>0</v>
      </c>
      <c r="E62" s="4624" t="s">
        <v>4002</v>
      </c>
      <c r="F62" s="4625"/>
      <c r="G62" s="4626">
        <v>303489.59999999998</v>
      </c>
      <c r="H62" s="4627"/>
      <c r="I62" s="4628">
        <f t="shared" si="5"/>
        <v>0</v>
      </c>
      <c r="J62" s="4628"/>
      <c r="K62" s="4639"/>
    </row>
    <row r="63" spans="1:13">
      <c r="A63" s="1888"/>
      <c r="B63" s="1889"/>
      <c r="C63" s="1727">
        <f>SUMIF(C33:C51, "5", H33:H51)</f>
        <v>0</v>
      </c>
      <c r="D63" s="1893">
        <f t="shared" si="4"/>
        <v>0</v>
      </c>
      <c r="E63" s="4629" t="s">
        <v>4003</v>
      </c>
      <c r="F63" s="4630"/>
      <c r="G63" s="4631">
        <v>303489.59999999998</v>
      </c>
      <c r="H63" s="4632"/>
      <c r="I63" s="4633">
        <f t="shared" si="5"/>
        <v>0</v>
      </c>
      <c r="J63" s="4633"/>
      <c r="K63" s="1754"/>
    </row>
    <row r="64" spans="1:13" ht="17.25" thickBot="1">
      <c r="A64" s="1886" t="s">
        <v>4004</v>
      </c>
      <c r="B64" s="1744">
        <f>SUM(C58:C63)</f>
        <v>0</v>
      </c>
      <c r="C64" s="1894"/>
      <c r="D64" s="1894">
        <f>SUM(D58:D63)</f>
        <v>0</v>
      </c>
      <c r="E64" s="1885"/>
      <c r="F64" s="1885"/>
      <c r="G64" s="1885"/>
      <c r="H64" s="1885"/>
      <c r="I64" s="1885"/>
      <c r="J64" s="1868" t="s">
        <v>4005</v>
      </c>
      <c r="K64" s="1743">
        <f>SUM(I58:I62)</f>
        <v>0</v>
      </c>
    </row>
    <row r="65" spans="1:11">
      <c r="A65" s="4619"/>
      <c r="B65" s="4619"/>
      <c r="C65" s="4619"/>
      <c r="D65" s="4619"/>
      <c r="E65" s="4619"/>
      <c r="F65" s="4619"/>
      <c r="G65" s="4619"/>
      <c r="H65" s="4619"/>
      <c r="I65" s="4619"/>
      <c r="J65" s="4619"/>
    </row>
    <row r="66" spans="1:11">
      <c r="A66" s="4620" t="s">
        <v>4006</v>
      </c>
      <c r="B66" s="4621"/>
      <c r="C66" s="4621"/>
      <c r="D66" s="4621"/>
      <c r="E66" s="4621"/>
      <c r="F66" s="4621"/>
      <c r="G66" s="4621"/>
      <c r="H66" s="4621"/>
      <c r="I66" s="4621"/>
      <c r="J66" s="4621"/>
      <c r="K66" s="4622"/>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7.25" thickBot="1">
      <c r="A69" s="1747"/>
      <c r="B69" s="1704"/>
      <c r="C69" s="1751"/>
      <c r="D69" s="1751"/>
      <c r="E69" s="1751" t="s">
        <v>4009</v>
      </c>
      <c r="F69" s="1751"/>
      <c r="G69" s="1751"/>
      <c r="H69" s="1751"/>
      <c r="I69" s="1751"/>
      <c r="J69" s="1752"/>
      <c r="K69" s="1755">
        <f>K64</f>
        <v>0</v>
      </c>
    </row>
    <row r="70" spans="1:11" ht="17.25" thickBot="1">
      <c r="A70" s="1713"/>
      <c r="B70" s="1705"/>
      <c r="C70" s="4623" t="s">
        <v>4010</v>
      </c>
      <c r="D70" s="4623"/>
      <c r="E70" s="4623"/>
      <c r="F70" s="4623"/>
      <c r="G70" s="4623"/>
      <c r="H70" s="4623"/>
      <c r="I70" s="4623"/>
      <c r="J70" s="462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formula1>"No,Yes"</formula1>
    </dataValidation>
    <dataValidation type="list" allowBlank="1" showInputMessage="1" showErrorMessage="1" sqref="C33:C51">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Magnolia Villas</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24943.437000000002</v>
      </c>
      <c r="K4" s="1281" t="s">
        <v>3665</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5" t="s">
        <v>2977</v>
      </c>
      <c r="C11" s="4715"/>
      <c r="D11" s="4715"/>
      <c r="E11" s="4715"/>
      <c r="F11" s="4715"/>
      <c r="G11" s="4716">
        <f>'Part II-Sources of Funds'!I51+'Part II-Sources of Funds'!I52</f>
        <v>12626120</v>
      </c>
      <c r="H11" s="4716"/>
    </row>
    <row r="12" spans="1:11" ht="1.5" customHeight="1">
      <c r="G12" s="787"/>
      <c r="H12" s="787"/>
    </row>
    <row r="13" spans="1:11" ht="26.25" customHeight="1">
      <c r="A13" s="818" t="s">
        <v>1844</v>
      </c>
      <c r="B13" s="4715" t="s">
        <v>2978</v>
      </c>
      <c r="C13" s="4715"/>
      <c r="D13" s="4715"/>
      <c r="E13" s="4715"/>
      <c r="F13" s="4715"/>
      <c r="G13" s="4717" t="s">
        <v>2815</v>
      </c>
      <c r="H13" s="4717"/>
    </row>
    <row r="14" spans="1:11" ht="12" hidden="1" customHeight="1">
      <c r="A14" s="818"/>
      <c r="B14" s="4596"/>
      <c r="C14" s="4596"/>
      <c r="D14" s="4596"/>
      <c r="E14" s="4596"/>
      <c r="F14" s="4596"/>
      <c r="G14" s="4596"/>
      <c r="H14" s="4596"/>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596" t="s">
        <v>2516</v>
      </c>
      <c r="H18" s="4596"/>
    </row>
    <row r="19" spans="1:8" ht="12" hidden="1" customHeight="1">
      <c r="B19" s="4596"/>
      <c r="C19" s="4596"/>
      <c r="D19" s="4596"/>
      <c r="E19" s="4596"/>
      <c r="F19" s="4596"/>
      <c r="G19" s="4596"/>
      <c r="H19" s="4596"/>
    </row>
    <row r="20" spans="1:8" ht="13.5" customHeight="1"/>
    <row r="21" spans="1:8" ht="12" customHeight="1">
      <c r="A21" s="711" t="s">
        <v>2888</v>
      </c>
    </row>
    <row r="22" spans="1:8" ht="3" customHeight="1"/>
    <row r="23" spans="1:8" ht="24.75" customHeight="1">
      <c r="A23" s="4718" t="s">
        <v>4084</v>
      </c>
      <c r="B23" s="4718"/>
      <c r="C23" s="4718"/>
      <c r="D23" s="4718"/>
      <c r="E23" s="4718"/>
      <c r="F23" s="4718"/>
      <c r="G23" s="4718"/>
      <c r="H23" s="4718"/>
    </row>
    <row r="24" spans="1:8" ht="9" customHeight="1" thickBot="1">
      <c r="A24" s="777"/>
    </row>
    <row r="25" spans="1:8" ht="16.149999999999999" customHeight="1" thickBot="1">
      <c r="A25" s="4710">
        <v>20</v>
      </c>
      <c r="B25" s="4711"/>
      <c r="C25" s="1851" t="s">
        <v>976</v>
      </c>
    </row>
    <row r="26" spans="1:8" ht="9" customHeight="1">
      <c r="A26" s="777"/>
    </row>
    <row r="27" spans="1:8" ht="28.15" customHeight="1">
      <c r="A27" s="4714" t="s">
        <v>4089</v>
      </c>
      <c r="B27" s="4714"/>
      <c r="C27" s="4714"/>
      <c r="D27" s="4714"/>
      <c r="E27" s="4714"/>
      <c r="F27" s="4714"/>
      <c r="G27" s="4714"/>
      <c r="H27" s="4714"/>
    </row>
    <row r="28" spans="1:8" ht="9" customHeight="1">
      <c r="A28" s="777"/>
    </row>
    <row r="29" spans="1:8">
      <c r="A29" s="792" t="s">
        <v>2982</v>
      </c>
      <c r="B29" s="819" t="str">
        <f>IF('Part V-Revenues &amp; Expenses'!$K$62=0,"",'Part V-Revenues &amp; Expenses'!$K$62)</f>
        <v/>
      </c>
      <c r="C29" s="792" t="s">
        <v>4082</v>
      </c>
      <c r="D29" s="820" t="s">
        <v>4083</v>
      </c>
    </row>
    <row r="30" spans="1:8" ht="1.9"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4087</v>
      </c>
      <c r="E33" s="4709" t="s">
        <v>3124</v>
      </c>
      <c r="F33" s="4709"/>
      <c r="G33" s="4709"/>
      <c r="H33" s="4709"/>
    </row>
    <row r="34" spans="1:11" ht="12.75" customHeight="1">
      <c r="C34" s="1850"/>
      <c r="D34" s="1848" t="s">
        <v>2986</v>
      </c>
      <c r="E34" s="4712" t="s">
        <v>3125</v>
      </c>
      <c r="F34" s="4712"/>
      <c r="G34" s="4712"/>
      <c r="H34" s="4712"/>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4087</v>
      </c>
      <c r="E38" s="4709" t="s">
        <v>3124</v>
      </c>
      <c r="F38" s="4709"/>
      <c r="G38" s="4709"/>
      <c r="H38" s="4709"/>
    </row>
    <row r="39" spans="1:11" ht="12.75" customHeight="1">
      <c r="C39" s="1850"/>
      <c r="D39" s="1848" t="s">
        <v>2986</v>
      </c>
      <c r="E39" s="4712" t="s">
        <v>3125</v>
      </c>
      <c r="F39" s="4712"/>
      <c r="G39" s="4712"/>
      <c r="H39" s="4712"/>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4087</v>
      </c>
      <c r="E43" s="4709" t="s">
        <v>3124</v>
      </c>
      <c r="F43" s="4709"/>
      <c r="G43" s="4709"/>
      <c r="H43" s="4709"/>
    </row>
    <row r="44" spans="1:11" ht="12.75" customHeight="1">
      <c r="C44" s="1850"/>
      <c r="D44" s="1848" t="s">
        <v>2986</v>
      </c>
      <c r="E44" s="4712" t="s">
        <v>3125</v>
      </c>
      <c r="F44" s="4712"/>
      <c r="G44" s="4712"/>
      <c r="H44" s="4712"/>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4087</v>
      </c>
      <c r="E50" s="4709" t="s">
        <v>3124</v>
      </c>
      <c r="F50" s="4709"/>
      <c r="G50" s="4709"/>
      <c r="H50" s="4709"/>
    </row>
    <row r="51" spans="1:11" ht="12.75" customHeight="1">
      <c r="C51" s="1850"/>
      <c r="D51" s="1847" t="s">
        <v>2986</v>
      </c>
      <c r="E51" s="4713" t="s">
        <v>3125</v>
      </c>
      <c r="F51" s="4713"/>
      <c r="G51" s="4713"/>
      <c r="H51" s="4713"/>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4087</v>
      </c>
      <c r="E55" s="4709" t="s">
        <v>3124</v>
      </c>
      <c r="F55" s="4709"/>
      <c r="G55" s="4709"/>
      <c r="H55" s="4709"/>
    </row>
    <row r="56" spans="1:11" ht="12.75" customHeight="1">
      <c r="C56" s="1850"/>
      <c r="D56" s="1848" t="s">
        <v>2986</v>
      </c>
      <c r="E56" s="4712" t="s">
        <v>3125</v>
      </c>
      <c r="F56" s="4712"/>
      <c r="G56" s="4712"/>
      <c r="H56" s="4712"/>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4087</v>
      </c>
      <c r="E60" s="4709" t="s">
        <v>3124</v>
      </c>
      <c r="F60" s="4709"/>
      <c r="G60" s="4709"/>
      <c r="H60" s="4709"/>
    </row>
    <row r="61" spans="1:11" ht="12.75" customHeight="1">
      <c r="C61" s="1850"/>
      <c r="D61" s="1848" t="s">
        <v>2986</v>
      </c>
      <c r="E61" s="4712" t="s">
        <v>3125</v>
      </c>
      <c r="F61" s="4712"/>
      <c r="G61" s="4712"/>
      <c r="H61" s="4712"/>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4087</v>
      </c>
      <c r="E67" s="4709" t="s">
        <v>3124</v>
      </c>
      <c r="F67" s="4709"/>
      <c r="G67" s="4709"/>
      <c r="H67" s="4709"/>
    </row>
    <row r="68" spans="1:8" ht="12.75" customHeight="1">
      <c r="C68" s="1850"/>
      <c r="D68" s="1847" t="s">
        <v>2986</v>
      </c>
      <c r="E68" s="4713" t="s">
        <v>3125</v>
      </c>
      <c r="F68" s="4713"/>
      <c r="G68" s="4713"/>
      <c r="H68" s="4713"/>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4087</v>
      </c>
      <c r="E72" s="4709" t="s">
        <v>3124</v>
      </c>
      <c r="F72" s="4709"/>
      <c r="G72" s="4709"/>
      <c r="H72" s="4709"/>
    </row>
    <row r="73" spans="1:8" ht="12.75" customHeight="1">
      <c r="C73" s="1850"/>
      <c r="D73" s="1848" t="s">
        <v>2986</v>
      </c>
      <c r="E73" s="4712" t="s">
        <v>3125</v>
      </c>
      <c r="F73" s="4712"/>
      <c r="G73" s="4712"/>
      <c r="H73" s="4712"/>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4087</v>
      </c>
      <c r="E77" s="4709" t="s">
        <v>3124</v>
      </c>
      <c r="F77" s="4709"/>
      <c r="G77" s="4709"/>
      <c r="H77" s="4709"/>
    </row>
    <row r="78" spans="1:8" ht="12.75" customHeight="1">
      <c r="C78" s="1850"/>
      <c r="D78" s="1848" t="s">
        <v>2986</v>
      </c>
      <c r="E78" s="4712" t="s">
        <v>3125</v>
      </c>
      <c r="F78" s="4712"/>
      <c r="G78" s="4712"/>
      <c r="H78" s="4712"/>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4087</v>
      </c>
      <c r="E84" s="4709" t="s">
        <v>3124</v>
      </c>
      <c r="F84" s="4709"/>
      <c r="G84" s="4709"/>
      <c r="H84" s="4709"/>
    </row>
    <row r="85" spans="3:8" ht="12.75" customHeight="1">
      <c r="C85" s="1850"/>
      <c r="D85" s="1847" t="s">
        <v>2986</v>
      </c>
      <c r="E85" s="4713" t="s">
        <v>3125</v>
      </c>
      <c r="F85" s="4713"/>
      <c r="G85" s="4713"/>
      <c r="H85" s="4713"/>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4087</v>
      </c>
      <c r="E89" s="4709" t="s">
        <v>3124</v>
      </c>
      <c r="F89" s="4709"/>
      <c r="G89" s="4709"/>
      <c r="H89" s="4709"/>
    </row>
    <row r="90" spans="3:8" ht="12.75" customHeight="1">
      <c r="C90" s="1850"/>
      <c r="D90" s="1848" t="s">
        <v>2986</v>
      </c>
      <c r="E90" s="4712" t="s">
        <v>3125</v>
      </c>
      <c r="F90" s="4712"/>
      <c r="G90" s="4712"/>
      <c r="H90" s="4712"/>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4087</v>
      </c>
      <c r="E94" s="4709" t="s">
        <v>3124</v>
      </c>
      <c r="F94" s="4709"/>
      <c r="G94" s="4709"/>
      <c r="H94" s="4709"/>
    </row>
    <row r="95" spans="3:8" ht="12.75" customHeight="1">
      <c r="C95" s="1850"/>
      <c r="D95" s="1848" t="s">
        <v>2986</v>
      </c>
      <c r="E95" s="4712" t="s">
        <v>3125</v>
      </c>
      <c r="F95" s="4712"/>
      <c r="G95" s="4712"/>
      <c r="H95" s="4712"/>
    </row>
    <row r="96" spans="3:8" ht="6" customHeight="1">
      <c r="D96" s="821"/>
      <c r="E96" s="1846"/>
      <c r="F96" s="1846"/>
      <c r="G96" s="1846"/>
      <c r="H96" s="1846"/>
    </row>
    <row r="97" spans="1:11">
      <c r="A97" s="792" t="s">
        <v>2982</v>
      </c>
      <c r="B97" s="819" t="str">
        <f>IF('Part V-Revenues &amp; Expenses'!$O$62=0,"",'Part V-Revenues &amp; Expenses'!$O$62)</f>
        <v/>
      </c>
      <c r="C97" s="792" t="s">
        <v>4085</v>
      </c>
      <c r="D97" s="820" t="s">
        <v>4086</v>
      </c>
    </row>
    <row r="98" spans="1:11" ht="1.9"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149999999999999" customHeight="1" thickBot="1">
      <c r="A104" s="4710">
        <v>30</v>
      </c>
      <c r="B104" s="4711"/>
      <c r="C104" s="1851" t="s">
        <v>976</v>
      </c>
    </row>
    <row r="105" spans="1:11" ht="9" customHeight="1">
      <c r="A105" s="777"/>
    </row>
    <row r="106" spans="1:11" ht="28.15" customHeight="1">
      <c r="A106" s="4714" t="s">
        <v>4090</v>
      </c>
      <c r="B106" s="4714"/>
      <c r="C106" s="4714"/>
      <c r="D106" s="4714"/>
      <c r="E106" s="4714"/>
      <c r="F106" s="4714"/>
      <c r="G106" s="4714"/>
      <c r="H106" s="4714"/>
    </row>
    <row r="107" spans="1:11" ht="9" customHeight="1">
      <c r="A107" s="777"/>
    </row>
    <row r="108" spans="1:11">
      <c r="A108" s="792" t="s">
        <v>2982</v>
      </c>
      <c r="B108" s="819" t="str">
        <f>IF('Part V-Revenues &amp; Expenses'!$K$61=0,"",'Part V-Revenues &amp; Expenses'!$K$61)</f>
        <v/>
      </c>
      <c r="C108" s="792" t="s">
        <v>4082</v>
      </c>
      <c r="D108" s="820" t="s">
        <v>4083</v>
      </c>
    </row>
    <row r="109" spans="1:11" ht="1.9"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4087</v>
      </c>
      <c r="E112" s="4709" t="s">
        <v>3124</v>
      </c>
      <c r="F112" s="4709"/>
      <c r="G112" s="4709"/>
      <c r="H112" s="4709"/>
    </row>
    <row r="113" spans="1:8" ht="12.75" customHeight="1">
      <c r="C113" s="1850"/>
      <c r="D113" s="1848" t="s">
        <v>2986</v>
      </c>
      <c r="E113" s="4712" t="s">
        <v>3125</v>
      </c>
      <c r="F113" s="4712"/>
      <c r="G113" s="4712"/>
      <c r="H113" s="4712"/>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4087</v>
      </c>
      <c r="E117" s="4709" t="s">
        <v>3124</v>
      </c>
      <c r="F117" s="4709"/>
      <c r="G117" s="4709"/>
      <c r="H117" s="4709"/>
    </row>
    <row r="118" spans="1:8" ht="12.75" customHeight="1">
      <c r="C118" s="1850"/>
      <c r="D118" s="1848" t="s">
        <v>2986</v>
      </c>
      <c r="E118" s="4712" t="s">
        <v>3125</v>
      </c>
      <c r="F118" s="4712"/>
      <c r="G118" s="4712"/>
      <c r="H118" s="4712"/>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4087</v>
      </c>
      <c r="E122" s="4709" t="s">
        <v>3124</v>
      </c>
      <c r="F122" s="4709"/>
      <c r="G122" s="4709"/>
      <c r="H122" s="4709"/>
    </row>
    <row r="123" spans="1:8" ht="12.75" customHeight="1">
      <c r="C123" s="1850"/>
      <c r="D123" s="1848" t="s">
        <v>2986</v>
      </c>
      <c r="E123" s="4712" t="s">
        <v>3125</v>
      </c>
      <c r="F123" s="4712"/>
      <c r="G123" s="4712"/>
      <c r="H123" s="4712"/>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4087</v>
      </c>
      <c r="E129" s="4709" t="s">
        <v>3124</v>
      </c>
      <c r="F129" s="4709"/>
      <c r="G129" s="4709"/>
      <c r="H129" s="4709"/>
    </row>
    <row r="130" spans="1:8" ht="12.75" customHeight="1">
      <c r="C130" s="1850"/>
      <c r="D130" s="1847" t="s">
        <v>2986</v>
      </c>
      <c r="E130" s="4713" t="s">
        <v>3125</v>
      </c>
      <c r="F130" s="4713"/>
      <c r="G130" s="4713"/>
      <c r="H130" s="4713"/>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4087</v>
      </c>
      <c r="E134" s="4709" t="s">
        <v>3124</v>
      </c>
      <c r="F134" s="4709"/>
      <c r="G134" s="4709"/>
      <c r="H134" s="4709"/>
    </row>
    <row r="135" spans="1:8" ht="12.75" customHeight="1">
      <c r="C135" s="1850"/>
      <c r="D135" s="1848" t="s">
        <v>2986</v>
      </c>
      <c r="E135" s="4712" t="s">
        <v>3125</v>
      </c>
      <c r="F135" s="4712"/>
      <c r="G135" s="4712"/>
      <c r="H135" s="4712"/>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4087</v>
      </c>
      <c r="E139" s="4709" t="s">
        <v>3124</v>
      </c>
      <c r="F139" s="4709"/>
      <c r="G139" s="4709"/>
      <c r="H139" s="4709"/>
    </row>
    <row r="140" spans="1:8" ht="12.75" customHeight="1">
      <c r="C140" s="1850"/>
      <c r="D140" s="1848" t="s">
        <v>2986</v>
      </c>
      <c r="E140" s="4712" t="s">
        <v>3125</v>
      </c>
      <c r="F140" s="4712"/>
      <c r="G140" s="4712"/>
      <c r="H140" s="4712"/>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4087</v>
      </c>
      <c r="E146" s="4709" t="s">
        <v>3124</v>
      </c>
      <c r="F146" s="4709"/>
      <c r="G146" s="4709"/>
      <c r="H146" s="4709"/>
    </row>
    <row r="147" spans="1:8" ht="12.75" customHeight="1">
      <c r="C147" s="1850"/>
      <c r="D147" s="1847" t="s">
        <v>2986</v>
      </c>
      <c r="E147" s="4713" t="s">
        <v>3125</v>
      </c>
      <c r="F147" s="4713"/>
      <c r="G147" s="4713"/>
      <c r="H147" s="4713"/>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4087</v>
      </c>
      <c r="E151" s="4709" t="s">
        <v>3124</v>
      </c>
      <c r="F151" s="4709"/>
      <c r="G151" s="4709"/>
      <c r="H151" s="4709"/>
    </row>
    <row r="152" spans="1:8" ht="12.75" customHeight="1">
      <c r="C152" s="1850"/>
      <c r="D152" s="1848" t="s">
        <v>2986</v>
      </c>
      <c r="E152" s="4712" t="s">
        <v>3125</v>
      </c>
      <c r="F152" s="4712"/>
      <c r="G152" s="4712"/>
      <c r="H152" s="4712"/>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4087</v>
      </c>
      <c r="E156" s="4709" t="s">
        <v>3124</v>
      </c>
      <c r="F156" s="4709"/>
      <c r="G156" s="4709"/>
      <c r="H156" s="4709"/>
    </row>
    <row r="157" spans="1:8" ht="12.75" customHeight="1">
      <c r="C157" s="1850"/>
      <c r="D157" s="1848" t="s">
        <v>2986</v>
      </c>
      <c r="E157" s="4712" t="s">
        <v>3125</v>
      </c>
      <c r="F157" s="4712"/>
      <c r="G157" s="4712"/>
      <c r="H157" s="4712"/>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4087</v>
      </c>
      <c r="E163" s="4709" t="s">
        <v>3124</v>
      </c>
      <c r="F163" s="4709"/>
      <c r="G163" s="4709"/>
      <c r="H163" s="4709"/>
    </row>
    <row r="164" spans="1:8" ht="12.75" customHeight="1">
      <c r="C164" s="1850"/>
      <c r="D164" s="1847" t="s">
        <v>2986</v>
      </c>
      <c r="E164" s="4713" t="s">
        <v>3125</v>
      </c>
      <c r="F164" s="4713"/>
      <c r="G164" s="4713"/>
      <c r="H164" s="4713"/>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4087</v>
      </c>
      <c r="E168" s="4709" t="s">
        <v>3124</v>
      </c>
      <c r="F168" s="4709"/>
      <c r="G168" s="4709"/>
      <c r="H168" s="4709"/>
    </row>
    <row r="169" spans="1:8" ht="12.75" customHeight="1">
      <c r="C169" s="1850"/>
      <c r="D169" s="1848" t="s">
        <v>2986</v>
      </c>
      <c r="E169" s="4712" t="s">
        <v>3125</v>
      </c>
      <c r="F169" s="4712"/>
      <c r="G169" s="4712"/>
      <c r="H169" s="4712"/>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4087</v>
      </c>
      <c r="E173" s="4709" t="s">
        <v>3124</v>
      </c>
      <c r="F173" s="4709"/>
      <c r="G173" s="4709"/>
      <c r="H173" s="4709"/>
    </row>
    <row r="174" spans="1:8" ht="12.75" customHeight="1">
      <c r="C174" s="1850"/>
      <c r="D174" s="1848" t="s">
        <v>2986</v>
      </c>
      <c r="E174" s="4712" t="s">
        <v>3125</v>
      </c>
      <c r="F174" s="4712"/>
      <c r="G174" s="4712"/>
      <c r="H174" s="4712"/>
    </row>
    <row r="175" spans="1:8" ht="6" customHeight="1">
      <c r="D175" s="821"/>
      <c r="E175" s="1846"/>
      <c r="F175" s="1846"/>
      <c r="G175" s="1846"/>
      <c r="H175" s="1846"/>
    </row>
    <row r="176" spans="1:8">
      <c r="A176" s="792" t="s">
        <v>2982</v>
      </c>
      <c r="B176" s="819" t="str">
        <f>IF('Part V-Revenues &amp; Expenses'!$O61=0,"",'Part V-Revenues &amp; Expenses'!$O$61)</f>
        <v/>
      </c>
      <c r="C176" s="792" t="s">
        <v>4085</v>
      </c>
      <c r="D176" s="820" t="s">
        <v>4086</v>
      </c>
    </row>
    <row r="177" spans="1:11" ht="1.9"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149999999999999" customHeight="1" thickBot="1">
      <c r="A183" s="4710">
        <v>40</v>
      </c>
      <c r="B183" s="4711"/>
      <c r="C183" s="1851" t="s">
        <v>976</v>
      </c>
    </row>
    <row r="184" spans="1:11" ht="9" customHeight="1">
      <c r="A184" s="777"/>
    </row>
    <row r="185" spans="1:11" ht="28.15" customHeight="1">
      <c r="A185" s="4714" t="s">
        <v>4091</v>
      </c>
      <c r="B185" s="4714"/>
      <c r="C185" s="4714"/>
      <c r="D185" s="4714"/>
      <c r="E185" s="4714"/>
      <c r="F185" s="4714"/>
      <c r="G185" s="4714"/>
      <c r="H185" s="4714"/>
    </row>
    <row r="186" spans="1:11" ht="9" customHeight="1">
      <c r="A186" s="777"/>
    </row>
    <row r="187" spans="1:11">
      <c r="A187" s="792" t="s">
        <v>2982</v>
      </c>
      <c r="B187" s="819" t="str">
        <f>IF('Part V-Revenues &amp; Expenses'!$K$60=0,"",'Part V-Revenues &amp; Expenses'!$K$60)</f>
        <v/>
      </c>
      <c r="C187" s="792" t="s">
        <v>4082</v>
      </c>
      <c r="D187" s="820" t="s">
        <v>4083</v>
      </c>
    </row>
    <row r="188" spans="1:11" ht="1.9"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4087</v>
      </c>
      <c r="E191" s="4709" t="s">
        <v>3124</v>
      </c>
      <c r="F191" s="4709"/>
      <c r="G191" s="4709"/>
      <c r="H191" s="4709"/>
    </row>
    <row r="192" spans="1:11" ht="12.75" customHeight="1">
      <c r="C192" s="1850"/>
      <c r="D192" s="1848" t="s">
        <v>2986</v>
      </c>
      <c r="E192" s="4712" t="s">
        <v>3125</v>
      </c>
      <c r="F192" s="4712"/>
      <c r="G192" s="4712"/>
      <c r="H192" s="4712"/>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4087</v>
      </c>
      <c r="E196" s="4709" t="s">
        <v>3124</v>
      </c>
      <c r="F196" s="4709"/>
      <c r="G196" s="4709"/>
      <c r="H196" s="4709"/>
    </row>
    <row r="197" spans="1:8" ht="12.75" customHeight="1">
      <c r="C197" s="1850"/>
      <c r="D197" s="1848" t="s">
        <v>2986</v>
      </c>
      <c r="E197" s="4712" t="s">
        <v>3125</v>
      </c>
      <c r="F197" s="4712"/>
      <c r="G197" s="4712"/>
      <c r="H197" s="4712"/>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4087</v>
      </c>
      <c r="E201" s="4709" t="s">
        <v>3124</v>
      </c>
      <c r="F201" s="4709"/>
      <c r="G201" s="4709"/>
      <c r="H201" s="4709"/>
    </row>
    <row r="202" spans="1:8" ht="12.75" customHeight="1">
      <c r="C202" s="1850"/>
      <c r="D202" s="1848" t="s">
        <v>2986</v>
      </c>
      <c r="E202" s="4712" t="s">
        <v>3125</v>
      </c>
      <c r="F202" s="4712"/>
      <c r="G202" s="4712"/>
      <c r="H202" s="4712"/>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4087</v>
      </c>
      <c r="E208" s="4709" t="s">
        <v>3124</v>
      </c>
      <c r="F208" s="4709"/>
      <c r="G208" s="4709"/>
      <c r="H208" s="4709"/>
    </row>
    <row r="209" spans="1:8" ht="12.75" customHeight="1">
      <c r="C209" s="1850"/>
      <c r="D209" s="1847" t="s">
        <v>2986</v>
      </c>
      <c r="E209" s="4713" t="s">
        <v>3125</v>
      </c>
      <c r="F209" s="4713"/>
      <c r="G209" s="4713"/>
      <c r="H209" s="4713"/>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4087</v>
      </c>
      <c r="E213" s="4709" t="s">
        <v>3124</v>
      </c>
      <c r="F213" s="4709"/>
      <c r="G213" s="4709"/>
      <c r="H213" s="4709"/>
    </row>
    <row r="214" spans="1:8" ht="12.75" customHeight="1">
      <c r="C214" s="1850"/>
      <c r="D214" s="1848" t="s">
        <v>2986</v>
      </c>
      <c r="E214" s="4712" t="s">
        <v>3125</v>
      </c>
      <c r="F214" s="4712"/>
      <c r="G214" s="4712"/>
      <c r="H214" s="4712"/>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4087</v>
      </c>
      <c r="E218" s="4709" t="s">
        <v>3124</v>
      </c>
      <c r="F218" s="4709"/>
      <c r="G218" s="4709"/>
      <c r="H218" s="4709"/>
    </row>
    <row r="219" spans="1:8" ht="12.75" customHeight="1">
      <c r="C219" s="1850"/>
      <c r="D219" s="1848" t="s">
        <v>2986</v>
      </c>
      <c r="E219" s="4712" t="s">
        <v>3125</v>
      </c>
      <c r="F219" s="4712"/>
      <c r="G219" s="4712"/>
      <c r="H219" s="4712"/>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4087</v>
      </c>
      <c r="E225" s="4709" t="s">
        <v>3124</v>
      </c>
      <c r="F225" s="4709"/>
      <c r="G225" s="4709"/>
      <c r="H225" s="4709"/>
    </row>
    <row r="226" spans="1:8" ht="12.75" customHeight="1">
      <c r="C226" s="1850"/>
      <c r="D226" s="1847" t="s">
        <v>2986</v>
      </c>
      <c r="E226" s="4713" t="s">
        <v>3125</v>
      </c>
      <c r="F226" s="4713"/>
      <c r="G226" s="4713"/>
      <c r="H226" s="4713"/>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4087</v>
      </c>
      <c r="E230" s="4709" t="s">
        <v>3124</v>
      </c>
      <c r="F230" s="4709"/>
      <c r="G230" s="4709"/>
      <c r="H230" s="4709"/>
    </row>
    <row r="231" spans="1:8" ht="12.75" customHeight="1">
      <c r="C231" s="1850"/>
      <c r="D231" s="1848" t="s">
        <v>2986</v>
      </c>
      <c r="E231" s="4712" t="s">
        <v>3125</v>
      </c>
      <c r="F231" s="4712"/>
      <c r="G231" s="4712"/>
      <c r="H231" s="4712"/>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4087</v>
      </c>
      <c r="E235" s="4709" t="s">
        <v>3124</v>
      </c>
      <c r="F235" s="4709"/>
      <c r="G235" s="4709"/>
      <c r="H235" s="4709"/>
    </row>
    <row r="236" spans="1:8" ht="12.75" customHeight="1">
      <c r="C236" s="1850"/>
      <c r="D236" s="1848" t="s">
        <v>2986</v>
      </c>
      <c r="E236" s="4712" t="s">
        <v>3125</v>
      </c>
      <c r="F236" s="4712"/>
      <c r="G236" s="4712"/>
      <c r="H236" s="4712"/>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4087</v>
      </c>
      <c r="E242" s="4709" t="s">
        <v>3124</v>
      </c>
      <c r="F242" s="4709"/>
      <c r="G242" s="4709"/>
      <c r="H242" s="4709"/>
    </row>
    <row r="243" spans="1:8" ht="12.75" customHeight="1">
      <c r="C243" s="1850"/>
      <c r="D243" s="1847" t="s">
        <v>2986</v>
      </c>
      <c r="E243" s="4713" t="s">
        <v>3125</v>
      </c>
      <c r="F243" s="4713"/>
      <c r="G243" s="4713"/>
      <c r="H243" s="4713"/>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4087</v>
      </c>
      <c r="E247" s="4709" t="s">
        <v>3124</v>
      </c>
      <c r="F247" s="4709"/>
      <c r="G247" s="4709"/>
      <c r="H247" s="4709"/>
    </row>
    <row r="248" spans="1:8" ht="12.75" customHeight="1">
      <c r="C248" s="1850"/>
      <c r="D248" s="1848" t="s">
        <v>2986</v>
      </c>
      <c r="E248" s="4712" t="s">
        <v>3125</v>
      </c>
      <c r="F248" s="4712"/>
      <c r="G248" s="4712"/>
      <c r="H248" s="4712"/>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4087</v>
      </c>
      <c r="E252" s="4709" t="s">
        <v>3124</v>
      </c>
      <c r="F252" s="4709"/>
      <c r="G252" s="4709"/>
      <c r="H252" s="4709"/>
    </row>
    <row r="253" spans="1:8" ht="12.75" customHeight="1">
      <c r="C253" s="1850"/>
      <c r="D253" s="1848" t="s">
        <v>2986</v>
      </c>
      <c r="E253" s="4712" t="s">
        <v>3125</v>
      </c>
      <c r="F253" s="4712"/>
      <c r="G253" s="4712"/>
      <c r="H253" s="4712"/>
    </row>
    <row r="254" spans="1:8" ht="6" customHeight="1">
      <c r="D254" s="821"/>
      <c r="E254" s="1846"/>
      <c r="F254" s="1846"/>
      <c r="G254" s="1846"/>
      <c r="H254" s="1846"/>
    </row>
    <row r="255" spans="1:8">
      <c r="A255" s="792" t="s">
        <v>2982</v>
      </c>
      <c r="B255" s="819" t="str">
        <f>IF('Part V-Revenues &amp; Expenses'!$O$60=0,"",'Part V-Revenues &amp; Expenses'!$O$60)</f>
        <v/>
      </c>
      <c r="C255" s="792" t="s">
        <v>4085</v>
      </c>
      <c r="D255" s="820" t="s">
        <v>4086</v>
      </c>
    </row>
    <row r="256" spans="1:8" ht="1.9"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149999999999999" customHeight="1" thickBot="1">
      <c r="A262" s="4710">
        <v>50</v>
      </c>
      <c r="B262" s="4711"/>
      <c r="C262" s="1851" t="s">
        <v>976</v>
      </c>
    </row>
    <row r="263" spans="1:11" ht="9" customHeight="1">
      <c r="A263" s="777"/>
    </row>
    <row r="264" spans="1:11" ht="28.15" customHeight="1">
      <c r="A264" s="4714" t="s">
        <v>4088</v>
      </c>
      <c r="B264" s="4714"/>
      <c r="C264" s="4714"/>
      <c r="D264" s="4714"/>
      <c r="E264" s="4714"/>
      <c r="F264" s="4714"/>
      <c r="G264" s="4714"/>
      <c r="H264" s="4714"/>
    </row>
    <row r="265" spans="1:11" ht="9" customHeight="1">
      <c r="A265" s="777"/>
    </row>
    <row r="266" spans="1:11">
      <c r="A266" s="792" t="s">
        <v>2982</v>
      </c>
      <c r="B266" s="819" t="str">
        <f>IF('Part V-Revenues &amp; Expenses'!$K$59=0,"",'Part V-Revenues &amp; Expenses'!$K$59)</f>
        <v/>
      </c>
      <c r="C266" s="792" t="s">
        <v>4082</v>
      </c>
      <c r="D266" s="820" t="s">
        <v>4083</v>
      </c>
    </row>
    <row r="267" spans="1:11" ht="1.9"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4087</v>
      </c>
      <c r="E270" s="4709" t="s">
        <v>3124</v>
      </c>
      <c r="F270" s="4709"/>
      <c r="G270" s="4709"/>
      <c r="H270" s="4709"/>
    </row>
    <row r="271" spans="1:11" ht="12.75" customHeight="1">
      <c r="C271" s="1850"/>
      <c r="D271" s="1848" t="s">
        <v>2986</v>
      </c>
      <c r="E271" s="4712" t="s">
        <v>3125</v>
      </c>
      <c r="F271" s="4712"/>
      <c r="G271" s="4712"/>
      <c r="H271" s="4712"/>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4087</v>
      </c>
      <c r="E275" s="4709" t="s">
        <v>3124</v>
      </c>
      <c r="F275" s="4709"/>
      <c r="G275" s="4709"/>
      <c r="H275" s="4709"/>
    </row>
    <row r="276" spans="1:8" ht="12.75" customHeight="1">
      <c r="C276" s="1850"/>
      <c r="D276" s="1848" t="s">
        <v>2986</v>
      </c>
      <c r="E276" s="4712" t="s">
        <v>3125</v>
      </c>
      <c r="F276" s="4712"/>
      <c r="G276" s="4712"/>
      <c r="H276" s="4712"/>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4087</v>
      </c>
      <c r="E280" s="4709" t="s">
        <v>3124</v>
      </c>
      <c r="F280" s="4709"/>
      <c r="G280" s="4709"/>
      <c r="H280" s="4709"/>
    </row>
    <row r="281" spans="1:8" ht="12.75" customHeight="1">
      <c r="C281" s="1850"/>
      <c r="D281" s="1848" t="s">
        <v>2986</v>
      </c>
      <c r="E281" s="4712" t="s">
        <v>3125</v>
      </c>
      <c r="F281" s="4712"/>
      <c r="G281" s="4712"/>
      <c r="H281" s="4712"/>
    </row>
    <row r="282" spans="1:8" ht="6" customHeight="1">
      <c r="D282" s="821"/>
      <c r="E282" s="1846"/>
      <c r="F282" s="1846"/>
      <c r="G282" s="1846"/>
      <c r="H282" s="1846"/>
    </row>
    <row r="283" spans="1:8">
      <c r="A283" s="792" t="s">
        <v>2982</v>
      </c>
      <c r="B283" s="819">
        <f>IF('Part V-Revenues &amp; Expenses'!$L$59=0,"",'Part V-Revenues &amp; Expenses'!$L$59)</f>
        <v>4</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4087</v>
      </c>
      <c r="E287" s="4709" t="s">
        <v>3124</v>
      </c>
      <c r="F287" s="4709"/>
      <c r="G287" s="4709"/>
      <c r="H287" s="4709"/>
    </row>
    <row r="288" spans="1:8" ht="12.75" customHeight="1">
      <c r="C288" s="1850"/>
      <c r="D288" s="1847" t="s">
        <v>2986</v>
      </c>
      <c r="E288" s="4713" t="s">
        <v>3125</v>
      </c>
      <c r="F288" s="4713"/>
      <c r="G288" s="4713"/>
      <c r="H288" s="4713"/>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4087</v>
      </c>
      <c r="E292" s="4709" t="s">
        <v>3124</v>
      </c>
      <c r="F292" s="4709"/>
      <c r="G292" s="4709"/>
      <c r="H292" s="4709"/>
    </row>
    <row r="293" spans="1:8" ht="12.75" customHeight="1">
      <c r="C293" s="1850"/>
      <c r="D293" s="1848" t="s">
        <v>2986</v>
      </c>
      <c r="E293" s="4712" t="s">
        <v>3125</v>
      </c>
      <c r="F293" s="4712"/>
      <c r="G293" s="4712"/>
      <c r="H293" s="4712"/>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4087</v>
      </c>
      <c r="E297" s="4709" t="s">
        <v>3124</v>
      </c>
      <c r="F297" s="4709"/>
      <c r="G297" s="4709"/>
      <c r="H297" s="4709"/>
    </row>
    <row r="298" spans="1:8" ht="12.75" customHeight="1">
      <c r="C298" s="1850"/>
      <c r="D298" s="1848" t="s">
        <v>2986</v>
      </c>
      <c r="E298" s="4712" t="s">
        <v>3125</v>
      </c>
      <c r="F298" s="4712"/>
      <c r="G298" s="4712"/>
      <c r="H298" s="4712"/>
    </row>
    <row r="299" spans="1:8" ht="6" customHeight="1">
      <c r="D299" s="821"/>
      <c r="E299" s="1846"/>
      <c r="F299" s="1846"/>
      <c r="G299" s="1846"/>
      <c r="H299" s="1846"/>
    </row>
    <row r="300" spans="1:8">
      <c r="A300" s="792" t="s">
        <v>2982</v>
      </c>
      <c r="B300" s="819">
        <f>IF('Part V-Revenues &amp; Expenses'!$M$59=0,"",'Part V-Revenues &amp; Expenses'!$M$59)</f>
        <v>11</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4087</v>
      </c>
      <c r="E304" s="4709" t="s">
        <v>3124</v>
      </c>
      <c r="F304" s="4709"/>
      <c r="G304" s="4709"/>
      <c r="H304" s="4709"/>
    </row>
    <row r="305" spans="1:8" ht="12.75" customHeight="1">
      <c r="C305" s="1850"/>
      <c r="D305" s="1847" t="s">
        <v>2986</v>
      </c>
      <c r="E305" s="4713" t="s">
        <v>3125</v>
      </c>
      <c r="F305" s="4713"/>
      <c r="G305" s="4713"/>
      <c r="H305" s="4713"/>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4087</v>
      </c>
      <c r="E309" s="4709" t="s">
        <v>3124</v>
      </c>
      <c r="F309" s="4709"/>
      <c r="G309" s="4709"/>
      <c r="H309" s="4709"/>
    </row>
    <row r="310" spans="1:8" ht="12.75" customHeight="1">
      <c r="C310" s="1850"/>
      <c r="D310" s="1848" t="s">
        <v>2986</v>
      </c>
      <c r="E310" s="4712" t="s">
        <v>3125</v>
      </c>
      <c r="F310" s="4712"/>
      <c r="G310" s="4712"/>
      <c r="H310" s="4712"/>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4087</v>
      </c>
      <c r="E314" s="4709" t="s">
        <v>3124</v>
      </c>
      <c r="F314" s="4709"/>
      <c r="G314" s="4709"/>
      <c r="H314" s="4709"/>
    </row>
    <row r="315" spans="1:8" ht="12.75" customHeight="1">
      <c r="C315" s="1850"/>
      <c r="D315" s="1848" t="s">
        <v>2986</v>
      </c>
      <c r="E315" s="4712" t="s">
        <v>3125</v>
      </c>
      <c r="F315" s="4712"/>
      <c r="G315" s="4712"/>
      <c r="H315" s="4712"/>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4087</v>
      </c>
      <c r="E321" s="4709" t="s">
        <v>3124</v>
      </c>
      <c r="F321" s="4709"/>
      <c r="G321" s="4709"/>
      <c r="H321" s="4709"/>
    </row>
    <row r="322" spans="1:11" ht="12.75" customHeight="1">
      <c r="C322" s="1850"/>
      <c r="D322" s="1847" t="s">
        <v>2986</v>
      </c>
      <c r="E322" s="4713" t="s">
        <v>3125</v>
      </c>
      <c r="F322" s="4713"/>
      <c r="G322" s="4713"/>
      <c r="H322" s="4713"/>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4087</v>
      </c>
      <c r="E326" s="4709" t="s">
        <v>3124</v>
      </c>
      <c r="F326" s="4709"/>
      <c r="G326" s="4709"/>
      <c r="H326" s="4709"/>
    </row>
    <row r="327" spans="1:11" ht="12.75" customHeight="1">
      <c r="C327" s="1850"/>
      <c r="D327" s="1848" t="s">
        <v>2986</v>
      </c>
      <c r="E327" s="4712" t="s">
        <v>3125</v>
      </c>
      <c r="F327" s="4712"/>
      <c r="G327" s="4712"/>
      <c r="H327" s="4712"/>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4087</v>
      </c>
      <c r="E331" s="4709" t="s">
        <v>3124</v>
      </c>
      <c r="F331" s="4709"/>
      <c r="G331" s="4709"/>
      <c r="H331" s="4709"/>
    </row>
    <row r="332" spans="1:11" ht="12.75" customHeight="1">
      <c r="C332" s="1850"/>
      <c r="D332" s="1848" t="s">
        <v>2986</v>
      </c>
      <c r="E332" s="4712" t="s">
        <v>3125</v>
      </c>
      <c r="F332" s="4712"/>
      <c r="G332" s="4712"/>
      <c r="H332" s="4712"/>
    </row>
    <row r="333" spans="1:11" ht="6" customHeight="1">
      <c r="D333" s="821"/>
      <c r="E333" s="1846"/>
      <c r="F333" s="1846"/>
      <c r="G333" s="1846"/>
      <c r="H333" s="1846"/>
    </row>
    <row r="334" spans="1:11">
      <c r="A334" s="792" t="s">
        <v>2982</v>
      </c>
      <c r="B334" s="819" t="str">
        <f>IF('Part V-Revenues &amp; Expenses'!$O$59=0,"",'Part V-Revenues &amp; Expenses'!$O$59)</f>
        <v/>
      </c>
      <c r="C334" s="792" t="s">
        <v>4085</v>
      </c>
      <c r="D334" s="820" t="s">
        <v>4086</v>
      </c>
    </row>
    <row r="335" spans="1:11" ht="1.9"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149999999999999" customHeight="1" thickBot="1">
      <c r="A342" s="4710">
        <v>60</v>
      </c>
      <c r="B342" s="4711"/>
      <c r="C342" s="1851" t="s">
        <v>976</v>
      </c>
    </row>
    <row r="343" spans="1:8" ht="9" customHeight="1">
      <c r="A343" s="777"/>
    </row>
    <row r="344" spans="1:8" ht="28.15" customHeight="1">
      <c r="A344" s="4714" t="s">
        <v>4092</v>
      </c>
      <c r="B344" s="4714"/>
      <c r="C344" s="4714"/>
      <c r="D344" s="4714"/>
      <c r="E344" s="4714"/>
      <c r="F344" s="4714"/>
      <c r="G344" s="4714"/>
      <c r="H344" s="4714"/>
    </row>
    <row r="345" spans="1:8" ht="9" customHeight="1">
      <c r="A345" s="777"/>
    </row>
    <row r="346" spans="1:8">
      <c r="A346" s="792" t="s">
        <v>2982</v>
      </c>
      <c r="B346" s="819" t="str">
        <f>IF('Part V-Revenues &amp; Expenses'!$K$58=0,"",'Part V-Revenues &amp; Expenses'!$K$58)</f>
        <v/>
      </c>
      <c r="C346" s="792" t="s">
        <v>4082</v>
      </c>
      <c r="D346" s="820" t="s">
        <v>4083</v>
      </c>
    </row>
    <row r="347" spans="1:8" ht="1.9"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4087</v>
      </c>
      <c r="E350" s="4709" t="s">
        <v>3124</v>
      </c>
      <c r="F350" s="4709"/>
      <c r="G350" s="4709"/>
      <c r="H350" s="4709"/>
    </row>
    <row r="351" spans="1:8" ht="12.75" customHeight="1">
      <c r="C351" s="1850"/>
      <c r="D351" s="1848" t="s">
        <v>2986</v>
      </c>
      <c r="E351" s="4712" t="s">
        <v>3125</v>
      </c>
      <c r="F351" s="4712"/>
      <c r="G351" s="4712"/>
      <c r="H351" s="4712"/>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4087</v>
      </c>
      <c r="E355" s="4709" t="s">
        <v>3124</v>
      </c>
      <c r="F355" s="4709"/>
      <c r="G355" s="4709"/>
      <c r="H355" s="4709"/>
    </row>
    <row r="356" spans="1:8" ht="12.75" customHeight="1">
      <c r="C356" s="1850"/>
      <c r="D356" s="1848" t="s">
        <v>2986</v>
      </c>
      <c r="E356" s="4712" t="s">
        <v>3125</v>
      </c>
      <c r="F356" s="4712"/>
      <c r="G356" s="4712"/>
      <c r="H356" s="4712"/>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4087</v>
      </c>
      <c r="E360" s="4709" t="s">
        <v>3124</v>
      </c>
      <c r="F360" s="4709"/>
      <c r="G360" s="4709"/>
      <c r="H360" s="4709"/>
    </row>
    <row r="361" spans="1:8" ht="12.75" customHeight="1">
      <c r="C361" s="1850"/>
      <c r="D361" s="1848" t="s">
        <v>2986</v>
      </c>
      <c r="E361" s="4712" t="s">
        <v>3125</v>
      </c>
      <c r="F361" s="4712"/>
      <c r="G361" s="4712"/>
      <c r="H361" s="4712"/>
    </row>
    <row r="362" spans="1:8" ht="6" customHeight="1">
      <c r="D362" s="821"/>
      <c r="E362" s="1846"/>
      <c r="F362" s="1846"/>
      <c r="G362" s="1846"/>
      <c r="H362" s="1846"/>
    </row>
    <row r="363" spans="1:8">
      <c r="A363" s="792" t="s">
        <v>2982</v>
      </c>
      <c r="B363" s="819">
        <f>IF('Part V-Revenues &amp; Expenses'!$L$58=0,"",'Part V-Revenues &amp; Expenses'!$L$58)</f>
        <v>7</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4087</v>
      </c>
      <c r="E367" s="4709" t="s">
        <v>3124</v>
      </c>
      <c r="F367" s="4709"/>
      <c r="G367" s="4709"/>
      <c r="H367" s="4709"/>
    </row>
    <row r="368" spans="1:8" ht="12.75" customHeight="1">
      <c r="C368" s="1850"/>
      <c r="D368" s="1847" t="s">
        <v>2986</v>
      </c>
      <c r="E368" s="4713" t="s">
        <v>3125</v>
      </c>
      <c r="F368" s="4713"/>
      <c r="G368" s="4713"/>
      <c r="H368" s="4713"/>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4087</v>
      </c>
      <c r="E372" s="4709" t="s">
        <v>3124</v>
      </c>
      <c r="F372" s="4709"/>
      <c r="G372" s="4709"/>
      <c r="H372" s="4709"/>
    </row>
    <row r="373" spans="1:8" ht="12.75" customHeight="1">
      <c r="C373" s="1850"/>
      <c r="D373" s="1848" t="s">
        <v>2986</v>
      </c>
      <c r="E373" s="4712" t="s">
        <v>3125</v>
      </c>
      <c r="F373" s="4712"/>
      <c r="G373" s="4712"/>
      <c r="H373" s="4712"/>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4087</v>
      </c>
      <c r="E377" s="4709" t="s">
        <v>3124</v>
      </c>
      <c r="F377" s="4709"/>
      <c r="G377" s="4709"/>
      <c r="H377" s="4709"/>
    </row>
    <row r="378" spans="1:8" ht="12.75" customHeight="1">
      <c r="C378" s="1850"/>
      <c r="D378" s="1848" t="s">
        <v>2986</v>
      </c>
      <c r="E378" s="4712" t="s">
        <v>3125</v>
      </c>
      <c r="F378" s="4712"/>
      <c r="G378" s="4712"/>
      <c r="H378" s="4712"/>
    </row>
    <row r="379" spans="1:8" ht="6" customHeight="1">
      <c r="D379" s="821"/>
      <c r="E379" s="1846"/>
      <c r="F379" s="1846"/>
      <c r="G379" s="1846"/>
      <c r="H379" s="1846"/>
    </row>
    <row r="380" spans="1:8">
      <c r="A380" s="792" t="s">
        <v>2982</v>
      </c>
      <c r="B380" s="819">
        <f>IF('Part V-Revenues &amp; Expenses'!$M$58=0,"",'Part V-Revenues &amp; Expenses'!$M$58)</f>
        <v>19</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4087</v>
      </c>
      <c r="E384" s="4709" t="s">
        <v>3124</v>
      </c>
      <c r="F384" s="4709"/>
      <c r="G384" s="4709"/>
      <c r="H384" s="4709"/>
    </row>
    <row r="385" spans="1:8" ht="12.75" customHeight="1">
      <c r="C385" s="1850"/>
      <c r="D385" s="1847" t="s">
        <v>2986</v>
      </c>
      <c r="E385" s="4713" t="s">
        <v>3125</v>
      </c>
      <c r="F385" s="4713"/>
      <c r="G385" s="4713"/>
      <c r="H385" s="4713"/>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4087</v>
      </c>
      <c r="E389" s="4709" t="s">
        <v>3124</v>
      </c>
      <c r="F389" s="4709"/>
      <c r="G389" s="4709"/>
      <c r="H389" s="4709"/>
    </row>
    <row r="390" spans="1:8" ht="12.75" customHeight="1">
      <c r="C390" s="1850"/>
      <c r="D390" s="1848" t="s">
        <v>2986</v>
      </c>
      <c r="E390" s="4712" t="s">
        <v>3125</v>
      </c>
      <c r="F390" s="4712"/>
      <c r="G390" s="4712"/>
      <c r="H390" s="4712"/>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4087</v>
      </c>
      <c r="E394" s="4709" t="s">
        <v>3124</v>
      </c>
      <c r="F394" s="4709"/>
      <c r="G394" s="4709"/>
      <c r="H394" s="4709"/>
    </row>
    <row r="395" spans="1:8" ht="12.75" customHeight="1">
      <c r="C395" s="1850"/>
      <c r="D395" s="1848" t="s">
        <v>2986</v>
      </c>
      <c r="E395" s="4712" t="s">
        <v>3125</v>
      </c>
      <c r="F395" s="4712"/>
      <c r="G395" s="4712"/>
      <c r="H395" s="4712"/>
    </row>
    <row r="396" spans="1:8" ht="6" customHeight="1">
      <c r="D396" s="821"/>
      <c r="E396" s="1846"/>
      <c r="F396" s="1846"/>
      <c r="G396" s="1846"/>
      <c r="H396" s="1846"/>
    </row>
    <row r="397" spans="1:8">
      <c r="A397" s="792" t="s">
        <v>2982</v>
      </c>
      <c r="B397" s="819" t="str">
        <f>IF('Part V-Revenues &amp; Expenses'!$N$58=0,"",'Part V-Revenues &amp; Expenses'!$N$58)</f>
        <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4087</v>
      </c>
      <c r="E401" s="4709" t="s">
        <v>3124</v>
      </c>
      <c r="F401" s="4709"/>
      <c r="G401" s="4709"/>
      <c r="H401" s="4709"/>
    </row>
    <row r="402" spans="1:11" ht="12.75" customHeight="1">
      <c r="C402" s="1850"/>
      <c r="D402" s="1847" t="s">
        <v>2986</v>
      </c>
      <c r="E402" s="4713" t="s">
        <v>3125</v>
      </c>
      <c r="F402" s="4713"/>
      <c r="G402" s="4713"/>
      <c r="H402" s="4713"/>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4087</v>
      </c>
      <c r="E406" s="4709" t="s">
        <v>3124</v>
      </c>
      <c r="F406" s="4709"/>
      <c r="G406" s="4709"/>
      <c r="H406" s="4709"/>
    </row>
    <row r="407" spans="1:11" ht="12.75" customHeight="1">
      <c r="C407" s="1850"/>
      <c r="D407" s="1848" t="s">
        <v>2986</v>
      </c>
      <c r="E407" s="4712" t="s">
        <v>3125</v>
      </c>
      <c r="F407" s="4712"/>
      <c r="G407" s="4712"/>
      <c r="H407" s="4712"/>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4087</v>
      </c>
      <c r="E411" s="4709" t="s">
        <v>3124</v>
      </c>
      <c r="F411" s="4709"/>
      <c r="G411" s="4709"/>
      <c r="H411" s="4709"/>
    </row>
    <row r="412" spans="1:11" ht="12.75" customHeight="1">
      <c r="C412" s="1850"/>
      <c r="D412" s="1848" t="s">
        <v>2986</v>
      </c>
      <c r="E412" s="4712" t="s">
        <v>3125</v>
      </c>
      <c r="F412" s="4712"/>
      <c r="G412" s="4712"/>
      <c r="H412" s="4712"/>
    </row>
    <row r="413" spans="1:11" ht="6" customHeight="1">
      <c r="D413" s="821"/>
      <c r="E413" s="1846"/>
      <c r="F413" s="1846"/>
      <c r="G413" s="1846"/>
      <c r="H413" s="1846"/>
    </row>
    <row r="414" spans="1:11">
      <c r="A414" s="792" t="s">
        <v>2982</v>
      </c>
      <c r="B414" s="819" t="str">
        <f>IF('Part V-Revenues &amp; Expenses'!$O$58=0,"",'Part V-Revenues &amp; Expenses'!$O$58)</f>
        <v/>
      </c>
      <c r="C414" s="792" t="s">
        <v>4085</v>
      </c>
      <c r="D414" s="820" t="s">
        <v>4086</v>
      </c>
    </row>
    <row r="415" spans="1:11" ht="1.9"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149999999999999" customHeight="1" thickBot="1">
      <c r="A421" s="4710">
        <v>70</v>
      </c>
      <c r="B421" s="4711"/>
      <c r="C421" s="1851" t="s">
        <v>976</v>
      </c>
    </row>
    <row r="422" spans="1:8" ht="9" customHeight="1">
      <c r="A422" s="777"/>
    </row>
    <row r="423" spans="1:8" ht="28.15" customHeight="1">
      <c r="A423" s="4714" t="s">
        <v>4093</v>
      </c>
      <c r="B423" s="4714"/>
      <c r="C423" s="4714"/>
      <c r="D423" s="4714"/>
      <c r="E423" s="4714"/>
      <c r="F423" s="4714"/>
      <c r="G423" s="4714"/>
      <c r="H423" s="4714"/>
    </row>
    <row r="424" spans="1:8" ht="9" customHeight="1">
      <c r="A424" s="777"/>
    </row>
    <row r="425" spans="1:8">
      <c r="A425" s="792" t="s">
        <v>2982</v>
      </c>
      <c r="B425" s="819" t="str">
        <f>IF('Part V-Revenues &amp; Expenses'!$K$57=0,"",'Part V-Revenues &amp; Expenses'!$K$57)</f>
        <v/>
      </c>
      <c r="C425" s="792" t="s">
        <v>4082</v>
      </c>
      <c r="D425" s="820" t="s">
        <v>4083</v>
      </c>
    </row>
    <row r="426" spans="1:8" ht="1.9"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4087</v>
      </c>
      <c r="E429" s="4709" t="s">
        <v>3124</v>
      </c>
      <c r="F429" s="4709"/>
      <c r="G429" s="4709"/>
      <c r="H429" s="4709"/>
    </row>
    <row r="430" spans="1:8" ht="12.75" customHeight="1">
      <c r="C430" s="1850"/>
      <c r="D430" s="1848" t="s">
        <v>2986</v>
      </c>
      <c r="E430" s="4712" t="s">
        <v>3125</v>
      </c>
      <c r="F430" s="4712"/>
      <c r="G430" s="4712"/>
      <c r="H430" s="4712"/>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4087</v>
      </c>
      <c r="E434" s="4709" t="s">
        <v>3124</v>
      </c>
      <c r="F434" s="4709"/>
      <c r="G434" s="4709"/>
      <c r="H434" s="4709"/>
    </row>
    <row r="435" spans="1:8" ht="12.75" customHeight="1">
      <c r="C435" s="1850"/>
      <c r="D435" s="1848" t="s">
        <v>2986</v>
      </c>
      <c r="E435" s="4712" t="s">
        <v>3125</v>
      </c>
      <c r="F435" s="4712"/>
      <c r="G435" s="4712"/>
      <c r="H435" s="4712"/>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4087</v>
      </c>
      <c r="E439" s="4709" t="s">
        <v>3124</v>
      </c>
      <c r="F439" s="4709"/>
      <c r="G439" s="4709"/>
      <c r="H439" s="4709"/>
    </row>
    <row r="440" spans="1:8" ht="12.75" customHeight="1">
      <c r="C440" s="1850"/>
      <c r="D440" s="1848" t="s">
        <v>2986</v>
      </c>
      <c r="E440" s="4712" t="s">
        <v>3125</v>
      </c>
      <c r="F440" s="4712"/>
      <c r="G440" s="4712"/>
      <c r="H440" s="4712"/>
    </row>
    <row r="441" spans="1:8" ht="6" customHeight="1">
      <c r="D441" s="821"/>
      <c r="E441" s="1846"/>
      <c r="F441" s="1846"/>
      <c r="G441" s="1846"/>
      <c r="H441" s="1846"/>
    </row>
    <row r="442" spans="1:8">
      <c r="A442" s="792" t="s">
        <v>2982</v>
      </c>
      <c r="B442" s="819">
        <f>IF('Part V-Revenues &amp; Expenses'!$L$57=0,"",'Part V-Revenues &amp; Expenses'!$L$57)</f>
        <v>1</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4087</v>
      </c>
      <c r="E446" s="4709" t="s">
        <v>3124</v>
      </c>
      <c r="F446" s="4709"/>
      <c r="G446" s="4709"/>
      <c r="H446" s="4709"/>
    </row>
    <row r="447" spans="1:8" ht="12.75" customHeight="1">
      <c r="C447" s="1850"/>
      <c r="D447" s="1847" t="s">
        <v>2986</v>
      </c>
      <c r="E447" s="4713" t="s">
        <v>3125</v>
      </c>
      <c r="F447" s="4713"/>
      <c r="G447" s="4713"/>
      <c r="H447" s="4713"/>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4087</v>
      </c>
      <c r="E451" s="4709" t="s">
        <v>3124</v>
      </c>
      <c r="F451" s="4709"/>
      <c r="G451" s="4709"/>
      <c r="H451" s="4709"/>
    </row>
    <row r="452" spans="1:8" ht="12.75" customHeight="1">
      <c r="C452" s="1850"/>
      <c r="D452" s="1848" t="s">
        <v>2986</v>
      </c>
      <c r="E452" s="4712" t="s">
        <v>3125</v>
      </c>
      <c r="F452" s="4712"/>
      <c r="G452" s="4712"/>
      <c r="H452" s="4712"/>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4087</v>
      </c>
      <c r="E456" s="4709" t="s">
        <v>3124</v>
      </c>
      <c r="F456" s="4709"/>
      <c r="G456" s="4709"/>
      <c r="H456" s="4709"/>
    </row>
    <row r="457" spans="1:8" ht="12.75" customHeight="1">
      <c r="C457" s="1850"/>
      <c r="D457" s="1848" t="s">
        <v>2986</v>
      </c>
      <c r="E457" s="4712" t="s">
        <v>3125</v>
      </c>
      <c r="F457" s="4712"/>
      <c r="G457" s="4712"/>
      <c r="H457" s="4712"/>
    </row>
    <row r="458" spans="1:8" ht="6" customHeight="1">
      <c r="D458" s="821"/>
      <c r="E458" s="1846"/>
      <c r="F458" s="1846"/>
      <c r="G458" s="1846"/>
      <c r="H458" s="1846"/>
    </row>
    <row r="459" spans="1:8">
      <c r="A459" s="792" t="s">
        <v>2982</v>
      </c>
      <c r="B459" s="819">
        <f>IF('Part V-Revenues &amp; Expenses'!$M$57=0,"",'Part V-Revenues &amp; Expenses'!$M$57)</f>
        <v>4</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4087</v>
      </c>
      <c r="E463" s="4709" t="s">
        <v>3124</v>
      </c>
      <c r="F463" s="4709"/>
      <c r="G463" s="4709"/>
      <c r="H463" s="4709"/>
    </row>
    <row r="464" spans="1:8" ht="12.75" customHeight="1">
      <c r="C464" s="1850"/>
      <c r="D464" s="1847" t="s">
        <v>2986</v>
      </c>
      <c r="E464" s="4713" t="s">
        <v>3125</v>
      </c>
      <c r="F464" s="4713"/>
      <c r="G464" s="4713"/>
      <c r="H464" s="4713"/>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4087</v>
      </c>
      <c r="E468" s="4709" t="s">
        <v>3124</v>
      </c>
      <c r="F468" s="4709"/>
      <c r="G468" s="4709"/>
      <c r="H468" s="4709"/>
    </row>
    <row r="469" spans="1:8" ht="12.75" customHeight="1">
      <c r="C469" s="1850"/>
      <c r="D469" s="1848" t="s">
        <v>2986</v>
      </c>
      <c r="E469" s="4712" t="s">
        <v>3125</v>
      </c>
      <c r="F469" s="4712"/>
      <c r="G469" s="4712"/>
      <c r="H469" s="4712"/>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4087</v>
      </c>
      <c r="E473" s="4709" t="s">
        <v>3124</v>
      </c>
      <c r="F473" s="4709"/>
      <c r="G473" s="4709"/>
      <c r="H473" s="4709"/>
    </row>
    <row r="474" spans="1:8" ht="12.75" customHeight="1">
      <c r="C474" s="1850"/>
      <c r="D474" s="1848" t="s">
        <v>2986</v>
      </c>
      <c r="E474" s="4712" t="s">
        <v>3125</v>
      </c>
      <c r="F474" s="4712"/>
      <c r="G474" s="4712"/>
      <c r="H474" s="4712"/>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4087</v>
      </c>
      <c r="E480" s="4709" t="s">
        <v>3124</v>
      </c>
      <c r="F480" s="4709"/>
      <c r="G480" s="4709"/>
      <c r="H480" s="4709"/>
    </row>
    <row r="481" spans="1:11" ht="12.75" customHeight="1">
      <c r="C481" s="1850"/>
      <c r="D481" s="1847" t="s">
        <v>2986</v>
      </c>
      <c r="E481" s="4713" t="s">
        <v>3125</v>
      </c>
      <c r="F481" s="4713"/>
      <c r="G481" s="4713"/>
      <c r="H481" s="4713"/>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4087</v>
      </c>
      <c r="E485" s="4709" t="s">
        <v>3124</v>
      </c>
      <c r="F485" s="4709"/>
      <c r="G485" s="4709"/>
      <c r="H485" s="4709"/>
    </row>
    <row r="486" spans="1:11" ht="12.75" customHeight="1">
      <c r="C486" s="1850"/>
      <c r="D486" s="1848" t="s">
        <v>2986</v>
      </c>
      <c r="E486" s="4712" t="s">
        <v>3125</v>
      </c>
      <c r="F486" s="4712"/>
      <c r="G486" s="4712"/>
      <c r="H486" s="4712"/>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4087</v>
      </c>
      <c r="E490" s="4709" t="s">
        <v>3124</v>
      </c>
      <c r="F490" s="4709"/>
      <c r="G490" s="4709"/>
      <c r="H490" s="4709"/>
    </row>
    <row r="491" spans="1:11" ht="12.75" customHeight="1">
      <c r="C491" s="1850"/>
      <c r="D491" s="1848" t="s">
        <v>2986</v>
      </c>
      <c r="E491" s="4712" t="s">
        <v>3125</v>
      </c>
      <c r="F491" s="4712"/>
      <c r="G491" s="4712"/>
      <c r="H491" s="4712"/>
    </row>
    <row r="492" spans="1:11" ht="6" customHeight="1">
      <c r="D492" s="821"/>
      <c r="E492" s="1846"/>
      <c r="F492" s="1846"/>
      <c r="G492" s="1846"/>
      <c r="H492" s="1846"/>
    </row>
    <row r="493" spans="1:11">
      <c r="A493" s="792" t="s">
        <v>2982</v>
      </c>
      <c r="B493" s="819" t="str">
        <f>IF('Part V-Revenues &amp; Expenses'!$O$57=0,"",'Part V-Revenues &amp; Expenses'!$O$57)</f>
        <v/>
      </c>
      <c r="C493" s="792" t="s">
        <v>4085</v>
      </c>
      <c r="D493" s="820" t="s">
        <v>4086</v>
      </c>
    </row>
    <row r="494" spans="1:11" ht="1.9"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149999999999999" customHeight="1" thickBot="1">
      <c r="A500" s="4710">
        <v>80</v>
      </c>
      <c r="B500" s="4711"/>
      <c r="C500" s="1851" t="s">
        <v>976</v>
      </c>
    </row>
    <row r="501" spans="1:8" ht="9" customHeight="1">
      <c r="A501" s="777"/>
    </row>
    <row r="502" spans="1:8" ht="28.15" customHeight="1">
      <c r="A502" s="4714" t="s">
        <v>4094</v>
      </c>
      <c r="B502" s="4714"/>
      <c r="C502" s="4714"/>
      <c r="D502" s="4714"/>
      <c r="E502" s="4714"/>
      <c r="F502" s="4714"/>
      <c r="G502" s="4714"/>
      <c r="H502" s="4714"/>
    </row>
    <row r="503" spans="1:8" ht="9" customHeight="1">
      <c r="A503" s="777"/>
    </row>
    <row r="504" spans="1:8">
      <c r="A504" s="792" t="s">
        <v>2982</v>
      </c>
      <c r="B504" s="819" t="str">
        <f>IF('Part V-Revenues &amp; Expenses'!$K$56=0,"",'Part V-Revenues &amp; Expenses'!$K$56)</f>
        <v/>
      </c>
      <c r="C504" s="792" t="s">
        <v>4082</v>
      </c>
      <c r="D504" s="820" t="s">
        <v>4083</v>
      </c>
    </row>
    <row r="505" spans="1:8" ht="1.9"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4087</v>
      </c>
      <c r="E508" s="4709" t="s">
        <v>3124</v>
      </c>
      <c r="F508" s="4709"/>
      <c r="G508" s="4709"/>
      <c r="H508" s="4709"/>
    </row>
    <row r="509" spans="1:8" ht="12.75" customHeight="1">
      <c r="C509" s="1850"/>
      <c r="D509" s="1848" t="s">
        <v>2986</v>
      </c>
      <c r="E509" s="4712" t="s">
        <v>3125</v>
      </c>
      <c r="F509" s="4712"/>
      <c r="G509" s="4712"/>
      <c r="H509" s="4712"/>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4087</v>
      </c>
      <c r="E513" s="4709" t="s">
        <v>3124</v>
      </c>
      <c r="F513" s="4709"/>
      <c r="G513" s="4709"/>
      <c r="H513" s="4709"/>
    </row>
    <row r="514" spans="1:8" ht="12.75" customHeight="1">
      <c r="C514" s="1850"/>
      <c r="D514" s="1848" t="s">
        <v>2986</v>
      </c>
      <c r="E514" s="4712" t="s">
        <v>3125</v>
      </c>
      <c r="F514" s="4712"/>
      <c r="G514" s="4712"/>
      <c r="H514" s="4712"/>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4087</v>
      </c>
      <c r="E518" s="4709" t="s">
        <v>3124</v>
      </c>
      <c r="F518" s="4709"/>
      <c r="G518" s="4709"/>
      <c r="H518" s="4709"/>
    </row>
    <row r="519" spans="1:8" ht="12.75" customHeight="1">
      <c r="C519" s="1850"/>
      <c r="D519" s="1848" t="s">
        <v>2986</v>
      </c>
      <c r="E519" s="4712" t="s">
        <v>3125</v>
      </c>
      <c r="F519" s="4712"/>
      <c r="G519" s="4712"/>
      <c r="H519" s="4712"/>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4087</v>
      </c>
      <c r="E525" s="4709" t="s">
        <v>3124</v>
      </c>
      <c r="F525" s="4709"/>
      <c r="G525" s="4709"/>
      <c r="H525" s="4709"/>
    </row>
    <row r="526" spans="1:8" ht="12.75" customHeight="1">
      <c r="C526" s="1850"/>
      <c r="D526" s="1847" t="s">
        <v>2986</v>
      </c>
      <c r="E526" s="4713" t="s">
        <v>3125</v>
      </c>
      <c r="F526" s="4713"/>
      <c r="G526" s="4713"/>
      <c r="H526" s="4713"/>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4087</v>
      </c>
      <c r="E530" s="4709" t="s">
        <v>3124</v>
      </c>
      <c r="F530" s="4709"/>
      <c r="G530" s="4709"/>
      <c r="H530" s="4709"/>
    </row>
    <row r="531" spans="1:8" ht="12.75" customHeight="1">
      <c r="C531" s="1850"/>
      <c r="D531" s="1848" t="s">
        <v>2986</v>
      </c>
      <c r="E531" s="4712" t="s">
        <v>3125</v>
      </c>
      <c r="F531" s="4712"/>
      <c r="G531" s="4712"/>
      <c r="H531" s="4712"/>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4087</v>
      </c>
      <c r="E535" s="4709" t="s">
        <v>3124</v>
      </c>
      <c r="F535" s="4709"/>
      <c r="G535" s="4709"/>
      <c r="H535" s="4709"/>
    </row>
    <row r="536" spans="1:8" ht="12.75" customHeight="1">
      <c r="C536" s="1850"/>
      <c r="D536" s="1848" t="s">
        <v>2986</v>
      </c>
      <c r="E536" s="4712" t="s">
        <v>3125</v>
      </c>
      <c r="F536" s="4712"/>
      <c r="G536" s="4712"/>
      <c r="H536" s="4712"/>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4087</v>
      </c>
      <c r="E542" s="4709" t="s">
        <v>3124</v>
      </c>
      <c r="F542" s="4709"/>
      <c r="G542" s="4709"/>
      <c r="H542" s="4709"/>
    </row>
    <row r="543" spans="1:8" ht="12.75" customHeight="1">
      <c r="C543" s="1850"/>
      <c r="D543" s="1847" t="s">
        <v>2986</v>
      </c>
      <c r="E543" s="4713" t="s">
        <v>3125</v>
      </c>
      <c r="F543" s="4713"/>
      <c r="G543" s="4713"/>
      <c r="H543" s="4713"/>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4087</v>
      </c>
      <c r="E547" s="4709" t="s">
        <v>3124</v>
      </c>
      <c r="F547" s="4709"/>
      <c r="G547" s="4709"/>
      <c r="H547" s="4709"/>
    </row>
    <row r="548" spans="1:8" ht="12.75" customHeight="1">
      <c r="C548" s="1850"/>
      <c r="D548" s="1848" t="s">
        <v>2986</v>
      </c>
      <c r="E548" s="4712" t="s">
        <v>3125</v>
      </c>
      <c r="F548" s="4712"/>
      <c r="G548" s="4712"/>
      <c r="H548" s="4712"/>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4087</v>
      </c>
      <c r="E552" s="4709" t="s">
        <v>3124</v>
      </c>
      <c r="F552" s="4709"/>
      <c r="G552" s="4709"/>
      <c r="H552" s="4709"/>
    </row>
    <row r="553" spans="1:8" ht="12.75" customHeight="1">
      <c r="C553" s="1850"/>
      <c r="D553" s="1848" t="s">
        <v>2986</v>
      </c>
      <c r="E553" s="4712" t="s">
        <v>3125</v>
      </c>
      <c r="F553" s="4712"/>
      <c r="G553" s="4712"/>
      <c r="H553" s="4712"/>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4087</v>
      </c>
      <c r="E559" s="4709" t="s">
        <v>3124</v>
      </c>
      <c r="F559" s="4709"/>
      <c r="G559" s="4709"/>
      <c r="H559" s="4709"/>
    </row>
    <row r="560" spans="1:8" ht="12.75" customHeight="1">
      <c r="C560" s="1850"/>
      <c r="D560" s="1847" t="s">
        <v>2986</v>
      </c>
      <c r="E560" s="4713" t="s">
        <v>3125</v>
      </c>
      <c r="F560" s="4713"/>
      <c r="G560" s="4713"/>
      <c r="H560" s="4713"/>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4087</v>
      </c>
      <c r="E564" s="4709" t="s">
        <v>3124</v>
      </c>
      <c r="F564" s="4709"/>
      <c r="G564" s="4709"/>
      <c r="H564" s="4709"/>
    </row>
    <row r="565" spans="1:11" ht="12.75" customHeight="1">
      <c r="C565" s="1850"/>
      <c r="D565" s="1848" t="s">
        <v>2986</v>
      </c>
      <c r="E565" s="4712" t="s">
        <v>3125</v>
      </c>
      <c r="F565" s="4712"/>
      <c r="G565" s="4712"/>
      <c r="H565" s="4712"/>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4087</v>
      </c>
      <c r="E569" s="4709" t="s">
        <v>3124</v>
      </c>
      <c r="F569" s="4709"/>
      <c r="G569" s="4709"/>
      <c r="H569" s="4709"/>
    </row>
    <row r="570" spans="1:11" ht="12.75" customHeight="1">
      <c r="C570" s="1850"/>
      <c r="D570" s="1848" t="s">
        <v>2986</v>
      </c>
      <c r="E570" s="4712" t="s">
        <v>3125</v>
      </c>
      <c r="F570" s="4712"/>
      <c r="G570" s="4712"/>
      <c r="H570" s="4712"/>
    </row>
    <row r="571" spans="1:11" ht="6" customHeight="1">
      <c r="D571" s="821"/>
      <c r="E571" s="1846"/>
      <c r="F571" s="1846"/>
      <c r="G571" s="1846"/>
      <c r="H571" s="1846"/>
    </row>
    <row r="572" spans="1:11">
      <c r="A572" s="792" t="s">
        <v>2982</v>
      </c>
      <c r="B572" s="819" t="str">
        <f>IF('Part V-Revenues &amp; Expenses'!$O$56=0,"",'Part V-Revenues &amp; Expenses'!$O$56)</f>
        <v/>
      </c>
      <c r="C572" s="792" t="s">
        <v>4085</v>
      </c>
      <c r="D572" s="820" t="s">
        <v>4086</v>
      </c>
    </row>
    <row r="573" spans="1:11" ht="1.9"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Magnolia Villas</v>
      </c>
    </row>
    <row r="2" spans="1:14">
      <c r="A2" s="711" t="s">
        <v>2884</v>
      </c>
      <c r="H2" s="774" t="str">
        <f>'Sensitivity Analysis'!E8</f>
        <v>2022-0</v>
      </c>
    </row>
    <row r="3" spans="1:14" ht="3" customHeight="1"/>
    <row r="4" spans="1:14" ht="69.599999999999994" customHeight="1">
      <c r="A4" s="4715" t="s">
        <v>2980</v>
      </c>
      <c r="B4" s="4715"/>
      <c r="C4" s="4715"/>
      <c r="D4" s="4715"/>
      <c r="E4" s="4715"/>
      <c r="F4" s="4715"/>
      <c r="G4" s="4715"/>
      <c r="H4" s="4715"/>
      <c r="I4" s="4715"/>
      <c r="J4" s="4715"/>
      <c r="K4" s="4715"/>
      <c r="L4" s="4757">
        <f>SUM('Part VI-Pro Forma'!B15:B17)/12</f>
        <v>24943.437000000002</v>
      </c>
      <c r="M4" s="4757"/>
      <c r="N4" s="1903" t="s">
        <v>3665</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5" t="s">
        <v>2886</v>
      </c>
      <c r="D7" s="4715"/>
      <c r="E7" s="4715"/>
      <c r="F7" s="4715"/>
      <c r="G7" s="4715"/>
      <c r="H7" s="4715"/>
      <c r="I7" s="4715"/>
      <c r="J7" s="4715"/>
      <c r="K7" s="4715"/>
      <c r="L7" s="4715"/>
      <c r="M7" s="4715"/>
    </row>
    <row r="8" spans="1:14" ht="3" customHeight="1"/>
    <row r="9" spans="1:14">
      <c r="A9" s="774" t="s">
        <v>2887</v>
      </c>
    </row>
    <row r="10" spans="1:14" ht="1.5" customHeight="1"/>
    <row r="11" spans="1:14" ht="26.25" customHeight="1">
      <c r="A11" s="818" t="s">
        <v>1842</v>
      </c>
      <c r="B11" s="4715" t="s">
        <v>2977</v>
      </c>
      <c r="C11" s="4715"/>
      <c r="D11" s="4715"/>
      <c r="E11" s="4715"/>
      <c r="F11" s="4715"/>
      <c r="G11" s="4715"/>
      <c r="H11" s="4715"/>
      <c r="I11" s="4715"/>
      <c r="J11" s="4715"/>
      <c r="K11" s="4715"/>
      <c r="L11" s="4716">
        <f>'Part II-Sources of Funds'!I51+'Part II-Sources of Funds'!I52</f>
        <v>12626120</v>
      </c>
      <c r="M11" s="4716"/>
    </row>
    <row r="12" spans="1:14" ht="1.5" customHeight="1">
      <c r="G12" s="787"/>
      <c r="H12" s="787"/>
    </row>
    <row r="13" spans="1:14" ht="25.9" customHeight="1">
      <c r="A13" s="818" t="s">
        <v>1844</v>
      </c>
      <c r="B13" s="4715" t="s">
        <v>2978</v>
      </c>
      <c r="C13" s="4715"/>
      <c r="D13" s="4715"/>
      <c r="E13" s="4715"/>
      <c r="F13" s="4715"/>
      <c r="G13" s="4715"/>
      <c r="H13" s="4715"/>
      <c r="I13" s="4715"/>
      <c r="J13" s="4715"/>
      <c r="K13" s="4715"/>
      <c r="L13" s="4717" t="s">
        <v>2815</v>
      </c>
      <c r="M13" s="4717"/>
    </row>
    <row r="14" spans="1:14">
      <c r="A14" s="818"/>
      <c r="B14" s="4596"/>
      <c r="C14" s="4596"/>
      <c r="D14" s="4596"/>
      <c r="E14" s="4596"/>
      <c r="F14" s="4596"/>
      <c r="G14" s="4596"/>
      <c r="H14" s="4596"/>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596" t="s">
        <v>2516</v>
      </c>
      <c r="M18" s="4596"/>
    </row>
    <row r="19" spans="1:19" ht="12" hidden="1" customHeight="1">
      <c r="B19" s="4596"/>
      <c r="C19" s="4596"/>
      <c r="D19" s="4596"/>
      <c r="E19" s="4596"/>
      <c r="F19" s="4596"/>
      <c r="G19" s="4596"/>
      <c r="H19" s="4596"/>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0" t="s">
        <v>4084</v>
      </c>
      <c r="B23" s="4730"/>
      <c r="C23" s="4730"/>
      <c r="D23" s="4730"/>
      <c r="E23" s="4730"/>
      <c r="F23" s="4730"/>
      <c r="G23" s="4730"/>
      <c r="H23" s="4730"/>
      <c r="I23" s="4730"/>
      <c r="J23" s="4730"/>
      <c r="K23" s="4730"/>
      <c r="L23" s="4730"/>
      <c r="M23" s="4730"/>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3678</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3679</v>
      </c>
      <c r="D26" s="2023"/>
      <c r="E26" s="2035">
        <f>'Part V-Revenues &amp; Expenses'!K57</f>
        <v>0</v>
      </c>
      <c r="F26" s="2036">
        <f>'Part V-Revenues &amp; Expenses'!L57</f>
        <v>1</v>
      </c>
      <c r="G26" s="2036">
        <f>'Part V-Revenues &amp; Expenses'!M57</f>
        <v>4</v>
      </c>
      <c r="H26" s="2036">
        <f>'Part V-Revenues &amp; Expenses'!N57</f>
        <v>0</v>
      </c>
      <c r="I26" s="2036">
        <f>'Part V-Revenues &amp; Expenses'!O57</f>
        <v>0</v>
      </c>
      <c r="J26" s="2037">
        <f>'Part V-Revenues &amp; Expenses'!P57</f>
        <v>5</v>
      </c>
    </row>
    <row r="27" spans="1:19" s="562" customFormat="1" ht="15" customHeight="1">
      <c r="C27" s="2031" t="s">
        <v>1082</v>
      </c>
      <c r="D27" s="2023"/>
      <c r="E27" s="2035">
        <f>'Part V-Revenues &amp; Expenses'!K58</f>
        <v>0</v>
      </c>
      <c r="F27" s="2036">
        <f>'Part V-Revenues &amp; Expenses'!L58</f>
        <v>7</v>
      </c>
      <c r="G27" s="2036">
        <f>'Part V-Revenues &amp; Expenses'!M58</f>
        <v>19</v>
      </c>
      <c r="H27" s="2036">
        <f>'Part V-Revenues &amp; Expenses'!N58</f>
        <v>0</v>
      </c>
      <c r="I27" s="2036">
        <f>'Part V-Revenues &amp; Expenses'!O58</f>
        <v>0</v>
      </c>
      <c r="J27" s="2037">
        <f>'Part V-Revenues &amp; Expenses'!P58</f>
        <v>26</v>
      </c>
    </row>
    <row r="28" spans="1:19" s="562" customFormat="1" ht="15" customHeight="1">
      <c r="C28" s="2031" t="s">
        <v>112</v>
      </c>
      <c r="D28" s="2023"/>
      <c r="E28" s="2035">
        <f>'Part V-Revenues &amp; Expenses'!K59</f>
        <v>0</v>
      </c>
      <c r="F28" s="2036">
        <f>'Part V-Revenues &amp; Expenses'!L59</f>
        <v>4</v>
      </c>
      <c r="G28" s="2036">
        <f>'Part V-Revenues &amp; Expenses'!M59</f>
        <v>11</v>
      </c>
      <c r="H28" s="2036">
        <f>'Part V-Revenues &amp; Expenses'!N59</f>
        <v>0</v>
      </c>
      <c r="I28" s="2036">
        <f>'Part V-Revenues &amp; Expenses'!O59</f>
        <v>0</v>
      </c>
      <c r="J28" s="2037">
        <f>'Part V-Revenues &amp; Expenses'!P59</f>
        <v>15</v>
      </c>
    </row>
    <row r="29" spans="1:19" s="562" customFormat="1" ht="13.15" customHeight="1">
      <c r="C29" s="2031" t="s">
        <v>3680</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3681</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3682</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12</v>
      </c>
      <c r="G32" s="2029">
        <f>'Part V-Revenues &amp; Expenses'!M63</f>
        <v>34</v>
      </c>
      <c r="H32" s="2029">
        <f>'Part V-Revenues &amp; Expenses'!N63</f>
        <v>0</v>
      </c>
      <c r="I32" s="2029">
        <f>'Part V-Revenues &amp; Expenses'!O63</f>
        <v>0</v>
      </c>
      <c r="J32" s="2039">
        <f>'Part V-Revenues &amp; Expenses'!P63</f>
        <v>46</v>
      </c>
    </row>
    <row r="33" spans="1:12" s="562" customFormat="1" ht="13.15" customHeight="1" thickBot="1">
      <c r="K33" s="2016"/>
    </row>
    <row r="34" spans="1:12" s="562" customFormat="1" ht="14.25" customHeight="1" thickBot="1">
      <c r="A34" s="2016"/>
      <c r="B34" s="4731" t="s">
        <v>6177</v>
      </c>
      <c r="E34" s="4732" t="s">
        <v>6070</v>
      </c>
      <c r="F34" s="4733"/>
      <c r="G34" s="4733"/>
      <c r="H34" s="4733"/>
      <c r="I34" s="4733"/>
      <c r="J34" s="4733"/>
      <c r="K34" s="4733"/>
      <c r="L34" s="4734"/>
    </row>
    <row r="35" spans="1:12" s="562" customFormat="1" ht="14.25" customHeight="1">
      <c r="A35" s="2016"/>
      <c r="B35" s="4731"/>
      <c r="C35" s="4735" t="s">
        <v>6178</v>
      </c>
      <c r="D35" s="4731" t="s">
        <v>6179</v>
      </c>
      <c r="E35" s="4736" t="s">
        <v>6073</v>
      </c>
      <c r="F35" s="4737"/>
      <c r="G35" s="4740" t="s">
        <v>1276</v>
      </c>
      <c r="H35" s="4742" t="s">
        <v>6069</v>
      </c>
      <c r="I35" s="4743"/>
      <c r="J35" s="4743"/>
      <c r="K35" s="4743"/>
      <c r="L35" s="4744"/>
    </row>
    <row r="36" spans="1:12" s="562" customFormat="1" ht="23.25" customHeight="1">
      <c r="A36" s="4735" t="s">
        <v>976</v>
      </c>
      <c r="B36" s="4731"/>
      <c r="C36" s="4735"/>
      <c r="D36" s="4731"/>
      <c r="E36" s="4738"/>
      <c r="F36" s="4739"/>
      <c r="G36" s="4741"/>
      <c r="H36" s="4745" t="s">
        <v>6071</v>
      </c>
      <c r="I36" s="4746"/>
      <c r="J36" s="4749" t="s">
        <v>1276</v>
      </c>
      <c r="K36" s="4746" t="s">
        <v>6072</v>
      </c>
      <c r="L36" s="4751"/>
    </row>
    <row r="37" spans="1:12" s="562" customFormat="1" ht="23.25" customHeight="1">
      <c r="A37" s="4735"/>
      <c r="B37" s="4731"/>
      <c r="C37" s="4735"/>
      <c r="D37" s="4731"/>
      <c r="E37" s="4738"/>
      <c r="F37" s="4739"/>
      <c r="G37" s="4741"/>
      <c r="H37" s="4745"/>
      <c r="I37" s="4746"/>
      <c r="J37" s="4750"/>
      <c r="K37" s="4746"/>
      <c r="L37" s="4751"/>
    </row>
    <row r="38" spans="1:12" s="562" customFormat="1" ht="23.25" customHeight="1">
      <c r="A38" s="4731"/>
      <c r="B38" s="4731"/>
      <c r="C38" s="4731"/>
      <c r="D38" s="4731"/>
      <c r="E38" s="4738"/>
      <c r="F38" s="4739"/>
      <c r="G38" s="4741"/>
      <c r="H38" s="4747"/>
      <c r="I38" s="4748"/>
      <c r="J38" s="4750"/>
      <c r="K38" s="4748"/>
      <c r="L38" s="4752"/>
    </row>
    <row r="39" spans="1:12" s="562" customFormat="1" ht="13.15" customHeight="1">
      <c r="A39" s="2020">
        <f>'Part V-Revenues &amp; Expenses'!B18</f>
        <v>50</v>
      </c>
      <c r="B39" s="2021">
        <f>'Part V-Revenues &amp; Expenses'!E18</f>
        <v>4</v>
      </c>
      <c r="C39" s="2022" t="str">
        <f>_xlfn.CONCAT('Part V-Revenues &amp; Expenses'!C18," / ",'Part V-Revenues &amp; Expenses'!D18)</f>
        <v>1 / 1</v>
      </c>
      <c r="D39" s="2021">
        <f>'Part V-Revenues &amp; Expenses'!F18</f>
        <v>780</v>
      </c>
      <c r="E39" s="4755">
        <f>'Part V-Revenues &amp; Expenses'!H18</f>
        <v>562</v>
      </c>
      <c r="F39" s="4756"/>
      <c r="G39" s="2023"/>
      <c r="H39" s="4724"/>
      <c r="I39" s="4725"/>
      <c r="J39" s="4725"/>
      <c r="K39" s="4725"/>
      <c r="L39" s="4726"/>
    </row>
    <row r="40" spans="1:12" s="562" customFormat="1" ht="13.15" customHeight="1">
      <c r="A40" s="2024">
        <f>'Part V-Revenues &amp; Expenses'!B19</f>
        <v>60</v>
      </c>
      <c r="B40" s="2025">
        <f>'Part V-Revenues &amp; Expenses'!E19</f>
        <v>7</v>
      </c>
      <c r="C40" s="2026" t="str">
        <f>_xlfn.CONCAT('Part V-Revenues &amp; Expenses'!C19," / ",'Part V-Revenues &amp; Expenses'!D19)</f>
        <v>1 / 1</v>
      </c>
      <c r="D40" s="2025">
        <f>'Part V-Revenues &amp; Expenses'!F19</f>
        <v>780</v>
      </c>
      <c r="E40" s="4722">
        <f>'Part V-Revenues &amp; Expenses'!H19</f>
        <v>597</v>
      </c>
      <c r="F40" s="4723"/>
      <c r="G40" s="2023"/>
      <c r="H40" s="4719"/>
      <c r="I40" s="4720"/>
      <c r="J40" s="4720"/>
      <c r="K40" s="4720"/>
      <c r="L40" s="4721"/>
    </row>
    <row r="41" spans="1:12" s="562" customFormat="1" ht="13.15" customHeight="1">
      <c r="A41" s="2024">
        <f>'Part V-Revenues &amp; Expenses'!B20</f>
        <v>70</v>
      </c>
      <c r="B41" s="2025">
        <f>'Part V-Revenues &amp; Expenses'!E20</f>
        <v>1</v>
      </c>
      <c r="C41" s="2026" t="str">
        <f>_xlfn.CONCAT('Part V-Revenues &amp; Expenses'!C20," / ",'Part V-Revenues &amp; Expenses'!D20)</f>
        <v>1 / 1</v>
      </c>
      <c r="D41" s="2025">
        <f>'Part V-Revenues &amp; Expenses'!F20</f>
        <v>780</v>
      </c>
      <c r="E41" s="4722">
        <f>'Part V-Revenues &amp; Expenses'!H20</f>
        <v>692</v>
      </c>
      <c r="F41" s="4723"/>
      <c r="G41" s="2023"/>
      <c r="H41" s="4719"/>
      <c r="I41" s="4720"/>
      <c r="J41" s="4720"/>
      <c r="K41" s="4720"/>
      <c r="L41" s="4721"/>
    </row>
    <row r="42" spans="1:12" s="562" customFormat="1" ht="13.15" customHeight="1">
      <c r="A42" s="2024">
        <f>'Part V-Revenues &amp; Expenses'!B21</f>
        <v>50</v>
      </c>
      <c r="B42" s="2025">
        <f>'Part V-Revenues &amp; Expenses'!E21</f>
        <v>11</v>
      </c>
      <c r="C42" s="2026" t="str">
        <f>_xlfn.CONCAT('Part V-Revenues &amp; Expenses'!C21," / ",'Part V-Revenues &amp; Expenses'!D21)</f>
        <v>2 / 1</v>
      </c>
      <c r="D42" s="2025">
        <f>'Part V-Revenues &amp; Expenses'!F21</f>
        <v>1038</v>
      </c>
      <c r="E42" s="4722">
        <f>'Part V-Revenues &amp; Expenses'!H21</f>
        <v>684</v>
      </c>
      <c r="F42" s="4723"/>
      <c r="G42" s="2023"/>
      <c r="H42" s="4719"/>
      <c r="I42" s="4720"/>
      <c r="J42" s="4720"/>
      <c r="K42" s="4720"/>
      <c r="L42" s="4721"/>
    </row>
    <row r="43" spans="1:12" s="562" customFormat="1" ht="13.15" customHeight="1">
      <c r="A43" s="2024">
        <f>'Part V-Revenues &amp; Expenses'!B22</f>
        <v>60</v>
      </c>
      <c r="B43" s="2025">
        <f>'Part V-Revenues &amp; Expenses'!E22</f>
        <v>19</v>
      </c>
      <c r="C43" s="2026" t="str">
        <f>_xlfn.CONCAT('Part V-Revenues &amp; Expenses'!C22," / ",'Part V-Revenues &amp; Expenses'!D22)</f>
        <v>2 / 1</v>
      </c>
      <c r="D43" s="2025">
        <f>'Part V-Revenues &amp; Expenses'!F22</f>
        <v>1038</v>
      </c>
      <c r="E43" s="4722">
        <f>'Part V-Revenues &amp; Expenses'!H22</f>
        <v>724</v>
      </c>
      <c r="F43" s="4723"/>
      <c r="G43" s="2023"/>
      <c r="H43" s="4719"/>
      <c r="I43" s="4720"/>
      <c r="J43" s="4720"/>
      <c r="K43" s="4720"/>
      <c r="L43" s="4721"/>
    </row>
    <row r="44" spans="1:12" s="562" customFormat="1" ht="13.15" customHeight="1">
      <c r="A44" s="2024">
        <f>'Part V-Revenues &amp; Expenses'!B23</f>
        <v>70</v>
      </c>
      <c r="B44" s="2025">
        <f>'Part V-Revenues &amp; Expenses'!E23</f>
        <v>4</v>
      </c>
      <c r="C44" s="2026" t="str">
        <f>_xlfn.CONCAT('Part V-Revenues &amp; Expenses'!C23," / ",'Part V-Revenues &amp; Expenses'!D23)</f>
        <v>2 / 1</v>
      </c>
      <c r="D44" s="2025">
        <f>'Part V-Revenues &amp; Expenses'!F23</f>
        <v>1038</v>
      </c>
      <c r="E44" s="4722">
        <f>'Part V-Revenues &amp; Expenses'!H23</f>
        <v>819</v>
      </c>
      <c r="F44" s="4723"/>
      <c r="G44" s="2023"/>
      <c r="H44" s="4719"/>
      <c r="I44" s="4720"/>
      <c r="J44" s="4720"/>
      <c r="K44" s="4720"/>
      <c r="L44" s="4721"/>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2">
        <f>'Part V-Revenues &amp; Expenses'!H24</f>
        <v>0</v>
      </c>
      <c r="F45" s="4723"/>
      <c r="G45" s="2023"/>
      <c r="H45" s="4719"/>
      <c r="I45" s="4720"/>
      <c r="J45" s="4720"/>
      <c r="K45" s="4720"/>
      <c r="L45" s="4721"/>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2">
        <f>'Part V-Revenues &amp; Expenses'!H25</f>
        <v>0</v>
      </c>
      <c r="F46" s="4723"/>
      <c r="G46" s="2023"/>
      <c r="H46" s="4719"/>
      <c r="I46" s="4720"/>
      <c r="J46" s="4720"/>
      <c r="K46" s="4720"/>
      <c r="L46" s="4721"/>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2">
        <f>'Part V-Revenues &amp; Expenses'!H26</f>
        <v>0</v>
      </c>
      <c r="F47" s="4723"/>
      <c r="G47" s="2023"/>
      <c r="H47" s="4719"/>
      <c r="I47" s="4720"/>
      <c r="J47" s="4720"/>
      <c r="K47" s="4720"/>
      <c r="L47" s="472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19"/>
      <c r="I48" s="4720"/>
      <c r="J48" s="4720"/>
      <c r="K48" s="4720"/>
      <c r="L48" s="472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19"/>
      <c r="I49" s="4720"/>
      <c r="J49" s="4720"/>
      <c r="K49" s="4720"/>
      <c r="L49" s="472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19"/>
      <c r="I50" s="4720"/>
      <c r="J50" s="4720"/>
      <c r="K50" s="4720"/>
      <c r="L50" s="472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19"/>
      <c r="I51" s="4720"/>
      <c r="J51" s="4720"/>
      <c r="K51" s="4720"/>
      <c r="L51" s="472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19"/>
      <c r="I52" s="4720"/>
      <c r="J52" s="4720"/>
      <c r="K52" s="4720"/>
      <c r="L52" s="472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19"/>
      <c r="I53" s="4720"/>
      <c r="J53" s="4720"/>
      <c r="K53" s="4720"/>
      <c r="L53" s="472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19"/>
      <c r="I54" s="4720"/>
      <c r="J54" s="4720"/>
      <c r="K54" s="4720"/>
      <c r="L54" s="472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19"/>
      <c r="I55" s="4720"/>
      <c r="J55" s="4720"/>
      <c r="K55" s="4720"/>
      <c r="L55" s="472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19"/>
      <c r="I56" s="4720"/>
      <c r="J56" s="4720"/>
      <c r="K56" s="4720"/>
      <c r="L56" s="472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19"/>
      <c r="I57" s="4720"/>
      <c r="J57" s="4720"/>
      <c r="K57" s="4720"/>
      <c r="L57" s="472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19"/>
      <c r="I58" s="4720"/>
      <c r="J58" s="4720"/>
      <c r="K58" s="4720"/>
      <c r="L58" s="472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19"/>
      <c r="I59" s="4720"/>
      <c r="J59" s="4720"/>
      <c r="K59" s="4720"/>
      <c r="L59" s="472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19"/>
      <c r="I60" s="4720"/>
      <c r="J60" s="4720"/>
      <c r="K60" s="4720"/>
      <c r="L60" s="472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19"/>
      <c r="I61" s="4720"/>
      <c r="J61" s="4720"/>
      <c r="K61" s="4720"/>
      <c r="L61" s="472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19"/>
      <c r="I62" s="4720"/>
      <c r="J62" s="4720"/>
      <c r="K62" s="4720"/>
      <c r="L62" s="472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19"/>
      <c r="I63" s="4720"/>
      <c r="J63" s="4720"/>
      <c r="K63" s="4720"/>
      <c r="L63" s="472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19"/>
      <c r="I64" s="4720"/>
      <c r="J64" s="4720"/>
      <c r="K64" s="4720"/>
      <c r="L64" s="472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19"/>
      <c r="I65" s="4720"/>
      <c r="J65" s="4720"/>
      <c r="K65" s="4720"/>
      <c r="L65" s="472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19"/>
      <c r="I66" s="4720"/>
      <c r="J66" s="4720"/>
      <c r="K66" s="4720"/>
      <c r="L66" s="472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19"/>
      <c r="I67" s="4720"/>
      <c r="J67" s="4720"/>
      <c r="K67" s="4720"/>
      <c r="L67" s="472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19"/>
      <c r="I68" s="4720"/>
      <c r="J68" s="4720"/>
      <c r="K68" s="4720"/>
      <c r="L68" s="472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3">
        <f>'Part V-Revenues &amp; Expenses'!H48</f>
        <v>0</v>
      </c>
      <c r="F69" s="4754"/>
      <c r="G69" s="2030"/>
      <c r="H69" s="4727"/>
      <c r="I69" s="4728"/>
      <c r="J69" s="4728"/>
      <c r="K69" s="4728"/>
      <c r="L69" s="4729"/>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69" t="s">
        <v>3481</v>
      </c>
      <c r="C1" s="4769"/>
      <c r="D1" s="4769"/>
      <c r="E1" s="4769"/>
      <c r="F1" s="4769"/>
      <c r="G1" s="4769"/>
      <c r="H1" s="4769"/>
      <c r="I1" s="4769"/>
    </row>
    <row r="2" spans="2:13" ht="15">
      <c r="B2" s="1318" t="s">
        <v>3469</v>
      </c>
      <c r="C2" s="786"/>
      <c r="D2" s="786"/>
      <c r="E2" s="786"/>
      <c r="F2" s="786"/>
      <c r="G2" s="786"/>
      <c r="H2" s="786"/>
      <c r="I2" s="786"/>
    </row>
    <row r="3" spans="2:13" ht="14.25">
      <c r="B3" s="1319" t="s">
        <v>3476</v>
      </c>
      <c r="C3" s="786"/>
      <c r="D3" s="786"/>
      <c r="E3" s="786"/>
      <c r="F3" s="786"/>
      <c r="G3" s="786"/>
      <c r="H3" s="786"/>
      <c r="I3" s="786"/>
    </row>
    <row r="4" spans="2:13">
      <c r="B4" s="4770" t="s">
        <v>2891</v>
      </c>
      <c r="C4" s="4770"/>
      <c r="D4" s="4770"/>
      <c r="E4" s="4775" t="s">
        <v>2892</v>
      </c>
      <c r="F4" s="4777"/>
      <c r="G4" s="4775" t="s">
        <v>574</v>
      </c>
      <c r="H4" s="4776"/>
      <c r="I4" s="4777"/>
      <c r="J4" s="1312" t="s">
        <v>2740</v>
      </c>
      <c r="K4" s="1312"/>
      <c r="L4" s="1320"/>
      <c r="M4" s="1320"/>
    </row>
    <row r="5" spans="2:13">
      <c r="B5" s="4771" t="str">
        <f>'Closing term sheet'!C8</f>
        <v>(Enter name as it will appear on all legal documents)</v>
      </c>
      <c r="C5" s="4772"/>
      <c r="D5" s="4772"/>
      <c r="E5" s="4781"/>
      <c r="F5" s="4782"/>
      <c r="G5" s="4778" t="str">
        <f>'Closing term sheet'!C28</f>
        <v>Magnolia Villas</v>
      </c>
      <c r="H5" s="4779"/>
      <c r="I5" s="4780"/>
      <c r="K5" s="774"/>
    </row>
    <row r="6" spans="2:13" ht="4.5" customHeight="1">
      <c r="D6" s="1321"/>
      <c r="E6" s="1321"/>
      <c r="F6" s="1321"/>
      <c r="G6" s="1321"/>
      <c r="H6" s="1321"/>
      <c r="I6" s="1321"/>
      <c r="K6" s="774"/>
    </row>
    <row r="7" spans="2:13">
      <c r="B7" s="4764" t="s">
        <v>2893</v>
      </c>
      <c r="C7" s="4764"/>
      <c r="D7" s="1322"/>
      <c r="E7" s="1322"/>
      <c r="F7" s="1322"/>
      <c r="G7" s="1322"/>
      <c r="H7" s="4773">
        <f>'Preview term'!E9</f>
        <v>0</v>
      </c>
      <c r="I7" s="4774"/>
    </row>
    <row r="8" spans="2:13" ht="4.5" customHeight="1">
      <c r="B8" s="1322"/>
      <c r="C8" s="1322"/>
      <c r="D8" s="1322"/>
      <c r="E8" s="1322"/>
      <c r="F8" s="1322"/>
      <c r="G8" s="1322"/>
      <c r="H8" s="1322"/>
      <c r="I8" s="1322"/>
      <c r="J8" s="1322"/>
    </row>
    <row r="9" spans="2:13">
      <c r="B9" s="1323" t="s">
        <v>2894</v>
      </c>
      <c r="C9" s="1323"/>
      <c r="D9" s="1322"/>
      <c r="E9" s="794" t="s">
        <v>3471</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3468</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3472</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3473</v>
      </c>
      <c r="C19" s="1322"/>
      <c r="D19" s="1322"/>
      <c r="E19" s="1322"/>
      <c r="F19" s="1322"/>
      <c r="G19" s="1322"/>
      <c r="H19" s="1322"/>
      <c r="I19" s="1339"/>
    </row>
    <row r="20" spans="2:9" ht="7.5" customHeight="1">
      <c r="B20" s="1333"/>
      <c r="C20" s="1322"/>
      <c r="D20" s="1322"/>
      <c r="E20" s="1322"/>
      <c r="F20" s="1322"/>
      <c r="G20" s="1322"/>
      <c r="H20" s="1322"/>
      <c r="I20" s="1339"/>
    </row>
    <row r="21" spans="2:9">
      <c r="B21" s="1333" t="s">
        <v>3470</v>
      </c>
      <c r="C21" s="1322"/>
      <c r="D21" s="1322"/>
      <c r="E21" s="1322"/>
      <c r="F21" s="1322"/>
      <c r="G21" s="1322"/>
      <c r="H21" s="1322"/>
      <c r="I21" s="1334"/>
    </row>
    <row r="22" spans="2:9">
      <c r="B22" s="1338" t="s">
        <v>3474</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3475</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3477</v>
      </c>
    </row>
    <row r="34" spans="2:9" ht="3" customHeight="1">
      <c r="B34" s="1343"/>
      <c r="C34" s="1328"/>
      <c r="D34" s="1328"/>
      <c r="E34" s="1328"/>
      <c r="F34" s="1328"/>
      <c r="G34" s="1328"/>
      <c r="H34" s="1328"/>
      <c r="I34" s="1344"/>
    </row>
    <row r="35" spans="2:9">
      <c r="B35" s="1333" t="s">
        <v>3480</v>
      </c>
      <c r="C35" s="1322"/>
      <c r="D35" s="1322"/>
      <c r="F35" s="1348"/>
      <c r="H35" s="4783" t="s">
        <v>3489</v>
      </c>
      <c r="I35" s="4784"/>
    </row>
    <row r="36" spans="2:9">
      <c r="B36" s="1349" t="s">
        <v>3488</v>
      </c>
      <c r="C36" s="1347"/>
      <c r="D36" s="1347"/>
      <c r="E36" s="1322"/>
      <c r="F36" s="1591"/>
      <c r="G36" s="1350"/>
      <c r="H36" s="4783"/>
      <c r="I36" s="4784"/>
    </row>
    <row r="37" spans="2:9">
      <c r="B37" s="1349" t="s">
        <v>3486</v>
      </c>
      <c r="D37" s="1347"/>
      <c r="E37" s="1322"/>
      <c r="F37" s="1592"/>
      <c r="G37" s="1350"/>
      <c r="H37" s="4783"/>
      <c r="I37" s="4784"/>
    </row>
    <row r="38" spans="2:9">
      <c r="B38" s="1349" t="s">
        <v>3487</v>
      </c>
      <c r="D38" s="1322"/>
      <c r="E38" s="1322"/>
      <c r="F38" s="1592"/>
      <c r="G38" s="1350"/>
      <c r="H38" s="1350"/>
      <c r="I38" s="1351"/>
    </row>
    <row r="39" spans="2:9" ht="12.75" customHeight="1">
      <c r="B39" s="1349" t="s">
        <v>3485</v>
      </c>
      <c r="C39" s="1322"/>
      <c r="D39" s="1322"/>
      <c r="E39" s="1322"/>
      <c r="F39" s="1592"/>
      <c r="G39" s="1350"/>
      <c r="H39" s="1350"/>
      <c r="I39" s="1351"/>
    </row>
    <row r="40" spans="2:9">
      <c r="B40" s="1352" t="s">
        <v>3484</v>
      </c>
      <c r="C40" s="1353"/>
      <c r="D40" s="1354"/>
      <c r="E40" s="1355"/>
      <c r="F40" s="1592"/>
      <c r="G40" s="1355"/>
      <c r="H40" s="1590"/>
      <c r="I40" s="1332"/>
    </row>
    <row r="41" spans="2:9">
      <c r="B41" s="1352" t="s">
        <v>3483</v>
      </c>
      <c r="C41" s="1353"/>
      <c r="D41" s="1354"/>
      <c r="E41" s="1322"/>
      <c r="F41" s="1592"/>
      <c r="G41" s="1322"/>
      <c r="H41" s="1322"/>
      <c r="I41" s="1332"/>
    </row>
    <row r="42" spans="2:9">
      <c r="B42" s="1356" t="s">
        <v>3482</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3479</v>
      </c>
    </row>
    <row r="46" spans="2:9" ht="3" customHeight="1">
      <c r="B46" s="1343"/>
      <c r="C46" s="1328"/>
      <c r="D46" s="1328"/>
      <c r="E46" s="1328"/>
      <c r="F46" s="1328"/>
      <c r="G46" s="1328"/>
      <c r="H46" s="1328"/>
      <c r="I46" s="1344"/>
    </row>
    <row r="47" spans="2:9">
      <c r="B47" s="1333" t="s">
        <v>3478</v>
      </c>
      <c r="C47" s="1322"/>
      <c r="D47" s="1358"/>
      <c r="E47" s="1359" t="e">
        <f>'Sensitivity Analysis'!H7</f>
        <v>#REF!</v>
      </c>
      <c r="F47" s="778" t="s">
        <v>3490</v>
      </c>
      <c r="H47" s="1322"/>
      <c r="I47" s="1332"/>
    </row>
    <row r="48" spans="2:9">
      <c r="B48" s="1338" t="s">
        <v>2906</v>
      </c>
      <c r="C48" s="1347"/>
      <c r="D48" s="1347" t="s">
        <v>2907</v>
      </c>
      <c r="E48" s="1322"/>
      <c r="F48" s="4792" t="e">
        <f>'Closing term sheet'!$C$30</f>
        <v>#REF!</v>
      </c>
      <c r="G48" s="4793"/>
      <c r="H48" s="4793"/>
      <c r="I48" s="4794"/>
    </row>
    <row r="49" spans="2:9">
      <c r="B49" s="1338" t="s">
        <v>2908</v>
      </c>
      <c r="D49" s="1347" t="s">
        <v>2909</v>
      </c>
      <c r="E49" s="1322"/>
      <c r="F49" s="4795"/>
      <c r="G49" s="4796"/>
      <c r="H49" s="4796"/>
      <c r="I49" s="4797"/>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3491</v>
      </c>
      <c r="C52" s="4760" t="str">
        <f>'Part I-Project Identification'!F30</f>
        <v>Tifton</v>
      </c>
      <c r="D52" s="4761"/>
      <c r="E52" s="1364" t="s">
        <v>3492</v>
      </c>
      <c r="F52" s="1324" t="s">
        <v>791</v>
      </c>
      <c r="G52" s="1364" t="s">
        <v>3493</v>
      </c>
      <c r="H52" s="1365" t="e">
        <f>'Part I-Project Identification'!#REF!</f>
        <v>#REF!</v>
      </c>
      <c r="I52" s="1332"/>
    </row>
    <row r="53" spans="2:9">
      <c r="B53" s="1363" t="s">
        <v>3655</v>
      </c>
      <c r="D53" s="1366" t="e">
        <f>VLOOKUP("='Part I-Project Information'!$J$39",'DCA Underwriting Assumptions'!$G$136:$O$295,9)</f>
        <v>#N/A</v>
      </c>
      <c r="I53" s="1332"/>
    </row>
    <row r="54" spans="2:9">
      <c r="B54" s="1363" t="s">
        <v>3656</v>
      </c>
      <c r="D54" s="1322"/>
      <c r="E54" s="1322"/>
      <c r="F54" s="1322"/>
      <c r="G54" s="1322"/>
      <c r="I54" s="1332"/>
    </row>
    <row r="55" spans="2:9">
      <c r="B55" s="1356" t="s">
        <v>3657</v>
      </c>
      <c r="D55" s="1367" t="e">
        <f>'Closing term sheet'!$D$33</f>
        <v>#VALUE!</v>
      </c>
      <c r="E55" s="1368"/>
      <c r="F55" s="794" t="s">
        <v>2911</v>
      </c>
      <c r="G55" s="1322"/>
      <c r="H55" s="1322"/>
      <c r="I55" s="1332"/>
    </row>
    <row r="56" spans="2:9">
      <c r="B56" s="1356" t="s">
        <v>3659</v>
      </c>
      <c r="D56" s="1369">
        <f>'Closing term sheet'!$D$63</f>
        <v>9396368</v>
      </c>
      <c r="E56" s="1370"/>
      <c r="F56" s="794" t="s">
        <v>2912</v>
      </c>
      <c r="G56" s="1322"/>
      <c r="H56" s="1322"/>
      <c r="I56" s="1332"/>
    </row>
    <row r="57" spans="2:9">
      <c r="B57" s="1349" t="s">
        <v>3658</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6" t="s">
        <v>2914</v>
      </c>
      <c r="C61" s="4767"/>
      <c r="D61" s="4767"/>
      <c r="E61" s="4767"/>
      <c r="F61" s="4767"/>
      <c r="G61" s="4767"/>
      <c r="H61" s="4767"/>
      <c r="I61" s="4768"/>
    </row>
    <row r="62" spans="2:9" ht="7.5" customHeight="1">
      <c r="B62" s="4762"/>
      <c r="C62" s="4763"/>
      <c r="D62" s="4763"/>
      <c r="E62" s="1322"/>
      <c r="F62" s="1322"/>
      <c r="G62" s="1372"/>
      <c r="H62" s="1322"/>
      <c r="I62" s="1332"/>
    </row>
    <row r="63" spans="2:9">
      <c r="B63" s="1373" t="s">
        <v>2916</v>
      </c>
      <c r="C63" s="1322"/>
      <c r="D63" s="1367">
        <v>4</v>
      </c>
      <c r="F63" s="1322"/>
      <c r="G63" s="4764" t="s">
        <v>2915</v>
      </c>
      <c r="H63" s="4764"/>
      <c r="I63" s="4765"/>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6" t="s">
        <v>2927</v>
      </c>
      <c r="C81" s="4767"/>
      <c r="D81" s="4767"/>
      <c r="E81" s="4767"/>
      <c r="F81" s="4767"/>
      <c r="G81" s="4767"/>
      <c r="H81" s="4767"/>
      <c r="I81" s="4768"/>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8">
        <f>'Closing term sheet'!D63</f>
        <v>9396368</v>
      </c>
      <c r="G84" s="4788"/>
      <c r="H84" s="1322"/>
      <c r="I84" s="1332"/>
    </row>
    <row r="85" spans="2:9">
      <c r="B85" s="1330"/>
      <c r="C85" s="814" t="s">
        <v>2930</v>
      </c>
      <c r="D85" s="1322"/>
      <c r="E85" s="1322"/>
      <c r="F85" s="4759">
        <f>'Part II-Sources of Funds'!I47+'Part II-Sources of Funds'!L47</f>
        <v>20197.091265537387</v>
      </c>
      <c r="G85" s="4759"/>
      <c r="H85" s="1322"/>
      <c r="I85" s="1332"/>
    </row>
    <row r="86" spans="2:9">
      <c r="B86" s="1330"/>
      <c r="C86" s="814" t="s">
        <v>2931</v>
      </c>
      <c r="D86" s="1322"/>
      <c r="E86" s="1322"/>
      <c r="F86" s="4758"/>
      <c r="G86" s="4758"/>
      <c r="H86" s="1322"/>
      <c r="I86" s="1332"/>
    </row>
    <row r="87" spans="2:9">
      <c r="B87" s="1330"/>
      <c r="C87" s="1347" t="s">
        <v>2932</v>
      </c>
      <c r="D87" s="1322"/>
      <c r="E87" s="1322"/>
      <c r="F87" s="4759">
        <v>11000</v>
      </c>
      <c r="G87" s="4759"/>
      <c r="H87" s="1322"/>
      <c r="I87" s="1332"/>
    </row>
    <row r="88" spans="2:9">
      <c r="B88" s="1330"/>
      <c r="C88" s="814" t="s">
        <v>2933</v>
      </c>
      <c r="D88" s="1322"/>
      <c r="E88" s="1322"/>
      <c r="F88" s="4791"/>
      <c r="G88" s="4791"/>
      <c r="H88" s="1322"/>
      <c r="I88" s="1332"/>
    </row>
    <row r="89" spans="2:9">
      <c r="B89" s="1330"/>
      <c r="C89" s="794" t="s">
        <v>2934</v>
      </c>
      <c r="D89" s="1322"/>
      <c r="E89" s="1322"/>
      <c r="F89" s="4786">
        <f>SUM(F84:G88)</f>
        <v>9427565.0912655368</v>
      </c>
      <c r="G89" s="4786"/>
      <c r="H89" s="1322"/>
      <c r="I89" s="1332"/>
    </row>
    <row r="90" spans="2:9">
      <c r="B90" s="1330"/>
      <c r="C90" s="1322"/>
      <c r="D90" s="1322"/>
      <c r="E90" s="1322"/>
      <c r="F90" s="4787"/>
      <c r="G90" s="4787"/>
      <c r="H90" s="1322"/>
      <c r="I90" s="1332"/>
    </row>
    <row r="91" spans="2:9">
      <c r="B91" s="1333" t="s">
        <v>2935</v>
      </c>
      <c r="C91" s="1322"/>
      <c r="D91" s="1322"/>
      <c r="E91" s="1322"/>
      <c r="F91" s="1322"/>
      <c r="G91" s="1322"/>
      <c r="H91" s="1322"/>
      <c r="I91" s="1332"/>
    </row>
    <row r="92" spans="2:9">
      <c r="B92" s="1330"/>
      <c r="C92" s="814" t="s">
        <v>2936</v>
      </c>
      <c r="D92" s="1322"/>
      <c r="E92" s="1322"/>
      <c r="F92" s="4788"/>
      <c r="G92" s="4788"/>
      <c r="H92" s="1322"/>
      <c r="I92" s="1332"/>
    </row>
    <row r="93" spans="2:9">
      <c r="B93" s="1330"/>
      <c r="C93" s="814" t="s">
        <v>2937</v>
      </c>
      <c r="D93" s="1322"/>
      <c r="E93" s="1322"/>
      <c r="F93" s="4789"/>
      <c r="G93" s="4789"/>
      <c r="H93" s="1322"/>
      <c r="I93" s="1332"/>
    </row>
    <row r="94" spans="2:9">
      <c r="B94" s="1330"/>
      <c r="C94" s="814" t="s">
        <v>2938</v>
      </c>
      <c r="D94" s="1322"/>
      <c r="E94" s="1322"/>
      <c r="F94" s="4790" t="s">
        <v>2815</v>
      </c>
      <c r="G94" s="4785"/>
      <c r="H94" s="1322"/>
      <c r="I94" s="1332"/>
    </row>
    <row r="95" spans="2:9">
      <c r="B95" s="1330"/>
      <c r="C95" s="794" t="s">
        <v>2939</v>
      </c>
      <c r="D95" s="1322"/>
      <c r="E95" s="1322"/>
      <c r="F95" s="4786">
        <f>+SUM(F92:G94)</f>
        <v>0</v>
      </c>
      <c r="G95" s="4786"/>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8"/>
      <c r="G98" s="4788"/>
      <c r="H98" s="1322"/>
      <c r="I98" s="1332"/>
    </row>
    <row r="99" spans="2:9">
      <c r="B99" s="1330"/>
      <c r="C99" s="814" t="s">
        <v>2942</v>
      </c>
      <c r="D99" s="1322"/>
      <c r="E99" s="1322"/>
      <c r="F99" s="4789"/>
      <c r="G99" s="4789"/>
      <c r="H99" s="1322"/>
      <c r="I99" s="1332"/>
    </row>
    <row r="100" spans="2:9">
      <c r="B100" s="1330"/>
      <c r="C100" s="814" t="s">
        <v>2943</v>
      </c>
      <c r="D100" s="1322"/>
      <c r="E100" s="1322"/>
      <c r="F100" s="4791"/>
      <c r="G100" s="4791"/>
      <c r="H100" s="1322"/>
      <c r="I100" s="1332"/>
    </row>
    <row r="101" spans="2:9">
      <c r="B101" s="1330"/>
      <c r="C101" s="794" t="s">
        <v>2944</v>
      </c>
      <c r="D101" s="1322"/>
      <c r="E101" s="1322"/>
      <c r="F101" s="4786">
        <f>+SUM(F98:G100)</f>
        <v>0</v>
      </c>
      <c r="G101" s="4786"/>
      <c r="H101" s="1322"/>
      <c r="I101" s="1332"/>
    </row>
    <row r="102" spans="2:9">
      <c r="B102" s="1330"/>
      <c r="C102" s="1322"/>
      <c r="D102" s="1322"/>
      <c r="E102" s="1322"/>
      <c r="F102" s="1322"/>
      <c r="G102" s="1322"/>
      <c r="H102" s="1322"/>
      <c r="I102" s="1332"/>
    </row>
    <row r="103" spans="2:9">
      <c r="B103" s="1373" t="s">
        <v>2945</v>
      </c>
      <c r="C103" s="814"/>
      <c r="D103" s="1322"/>
      <c r="E103" s="1322"/>
      <c r="F103" s="4785">
        <f>'Part II-Sources of Funds'!I48+'Part II-Sources of Funds'!I49</f>
        <v>0</v>
      </c>
      <c r="G103" s="4785"/>
      <c r="H103" s="1322"/>
      <c r="I103" s="1332"/>
    </row>
    <row r="104" spans="2:9">
      <c r="B104" s="1330"/>
      <c r="C104" s="1322"/>
      <c r="D104" s="1322"/>
      <c r="E104" s="1322"/>
      <c r="F104" s="1322"/>
      <c r="G104" s="1322"/>
      <c r="H104" s="1322"/>
      <c r="I104" s="1378" t="s">
        <v>2946</v>
      </c>
    </row>
    <row r="105" spans="2:9">
      <c r="B105" s="1333" t="s">
        <v>2947</v>
      </c>
      <c r="C105" s="1322"/>
      <c r="D105" s="1322"/>
      <c r="E105" s="1322"/>
      <c r="F105" s="4785">
        <f>+F103+F101+F95+F89</f>
        <v>9427565.0912655368</v>
      </c>
      <c r="G105" s="4785"/>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799" t="s">
        <v>2482</v>
      </c>
      <c r="B5" s="4799"/>
      <c r="C5" s="4799"/>
      <c r="D5" s="4799"/>
      <c r="E5" s="4799"/>
      <c r="F5" s="4799"/>
      <c r="G5" s="4799"/>
      <c r="H5" s="4799"/>
      <c r="I5" s="4799"/>
      <c r="J5" s="4799"/>
      <c r="K5" s="4799"/>
      <c r="L5" s="4799"/>
      <c r="M5" s="4799"/>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0" t="s">
        <v>1767</v>
      </c>
      <c r="B9" s="4800"/>
      <c r="C9" s="4800"/>
      <c r="D9" s="4800"/>
      <c r="E9" s="4800"/>
      <c r="F9" s="4800"/>
      <c r="G9" s="4800"/>
      <c r="H9" s="4800"/>
      <c r="I9" s="4800"/>
      <c r="J9" s="4800"/>
      <c r="K9" s="4800"/>
      <c r="L9" s="4800"/>
      <c r="M9" s="4800"/>
    </row>
    <row r="10" spans="1:26" ht="6.75" customHeight="1">
      <c r="A10" s="4800"/>
      <c r="B10" s="4800"/>
      <c r="C10" s="4800"/>
      <c r="D10" s="4800"/>
      <c r="E10" s="4800"/>
      <c r="F10" s="4800"/>
      <c r="G10" s="4800"/>
      <c r="H10" s="4800"/>
      <c r="I10" s="4800"/>
      <c r="J10" s="4800"/>
      <c r="K10" s="4800"/>
      <c r="L10" s="4800"/>
      <c r="M10" s="4800"/>
    </row>
    <row r="11" spans="1:26" ht="44.25" customHeight="1">
      <c r="A11" s="4801" t="s">
        <v>6512</v>
      </c>
      <c r="B11" s="4801"/>
      <c r="C11" s="4801"/>
      <c r="D11" s="4801"/>
      <c r="E11" s="4801"/>
      <c r="F11" s="4801"/>
      <c r="G11" s="4801"/>
      <c r="H11" s="4801"/>
      <c r="I11" s="4801"/>
      <c r="J11" s="4801"/>
      <c r="K11" s="4801"/>
      <c r="L11" s="4801"/>
      <c r="M11" s="4801"/>
    </row>
    <row r="12" spans="1:26" ht="3" customHeight="1">
      <c r="A12" s="4800"/>
      <c r="B12" s="4800"/>
      <c r="C12" s="4800"/>
      <c r="D12" s="4800"/>
      <c r="E12" s="4800"/>
      <c r="F12" s="4800"/>
      <c r="G12" s="4800"/>
      <c r="H12" s="4800"/>
      <c r="I12" s="4800"/>
      <c r="J12" s="4800"/>
      <c r="K12" s="4800"/>
      <c r="L12" s="4800"/>
      <c r="M12" s="4800"/>
    </row>
    <row r="13" spans="1:26" ht="101.25" customHeight="1">
      <c r="A13" s="1031" t="s">
        <v>1615</v>
      </c>
      <c r="B13" s="4802" t="s">
        <v>3191</v>
      </c>
      <c r="C13" s="4802"/>
      <c r="D13" s="4802"/>
      <c r="E13" s="4802"/>
      <c r="F13" s="4802"/>
      <c r="G13" s="4802"/>
      <c r="H13" s="4802"/>
      <c r="I13" s="4802"/>
      <c r="J13" s="4802"/>
      <c r="K13" s="4802"/>
      <c r="L13" s="4802"/>
      <c r="M13" s="4802"/>
      <c r="U13" s="1025" t="s">
        <v>6276</v>
      </c>
    </row>
    <row r="14" spans="1:26" ht="47.25" customHeight="1">
      <c r="A14" s="1031" t="s">
        <v>1616</v>
      </c>
      <c r="B14" s="4802" t="s">
        <v>3192</v>
      </c>
      <c r="C14" s="4802"/>
      <c r="D14" s="4802"/>
      <c r="E14" s="4802"/>
      <c r="F14" s="4802"/>
      <c r="G14" s="4802"/>
      <c r="H14" s="4802"/>
      <c r="I14" s="4802"/>
      <c r="J14" s="4802"/>
      <c r="K14" s="4802"/>
      <c r="L14" s="4802"/>
      <c r="M14" s="4802"/>
    </row>
    <row r="15" spans="1:26" ht="117" customHeight="1">
      <c r="A15" s="1031" t="s">
        <v>1617</v>
      </c>
      <c r="B15" s="4802" t="s">
        <v>3193</v>
      </c>
      <c r="C15" s="4802"/>
      <c r="D15" s="4802"/>
      <c r="E15" s="4802"/>
      <c r="F15" s="4802"/>
      <c r="G15" s="4802"/>
      <c r="H15" s="4802"/>
      <c r="I15" s="4802"/>
      <c r="J15" s="4802"/>
      <c r="K15" s="4802"/>
      <c r="L15" s="4802"/>
      <c r="M15" s="4802"/>
    </row>
    <row r="16" spans="1:26" ht="147" customHeight="1">
      <c r="A16" s="1031" t="s">
        <v>2183</v>
      </c>
      <c r="B16" s="4802" t="s">
        <v>3072</v>
      </c>
      <c r="C16" s="4802"/>
      <c r="D16" s="4802"/>
      <c r="E16" s="4802"/>
      <c r="F16" s="4802"/>
      <c r="G16" s="4802"/>
      <c r="H16" s="4802"/>
      <c r="I16" s="4802"/>
      <c r="J16" s="4802"/>
      <c r="K16" s="4802"/>
      <c r="L16" s="4802"/>
      <c r="M16" s="4802"/>
    </row>
    <row r="17" spans="1:13" ht="48.75" customHeight="1">
      <c r="A17" s="1031" t="s">
        <v>1449</v>
      </c>
      <c r="B17" s="4802" t="s">
        <v>637</v>
      </c>
      <c r="C17" s="4802"/>
      <c r="D17" s="4802"/>
      <c r="E17" s="4802"/>
      <c r="F17" s="4802"/>
      <c r="G17" s="4802"/>
      <c r="H17" s="4802"/>
      <c r="I17" s="4802"/>
      <c r="J17" s="4802"/>
      <c r="K17" s="4802"/>
      <c r="L17" s="4802"/>
      <c r="M17" s="4802"/>
    </row>
    <row r="18" spans="1:13" ht="165" customHeight="1">
      <c r="A18" s="1031" t="s">
        <v>1450</v>
      </c>
      <c r="B18" s="4802" t="s">
        <v>3071</v>
      </c>
      <c r="C18" s="4802"/>
      <c r="D18" s="4802"/>
      <c r="E18" s="4802"/>
      <c r="F18" s="4802"/>
      <c r="G18" s="4802"/>
      <c r="H18" s="4802"/>
      <c r="I18" s="4802"/>
      <c r="J18" s="4802"/>
      <c r="K18" s="4802"/>
      <c r="L18" s="4802"/>
      <c r="M18" s="4802"/>
    </row>
    <row r="19" spans="1:13" ht="48.75" customHeight="1">
      <c r="A19" s="1031" t="s">
        <v>93</v>
      </c>
      <c r="B19" s="4798" t="s">
        <v>3194</v>
      </c>
      <c r="C19" s="4798"/>
      <c r="D19" s="4798"/>
      <c r="E19" s="4798"/>
      <c r="F19" s="4798"/>
      <c r="G19" s="4798"/>
      <c r="H19" s="4798"/>
      <c r="I19" s="4798"/>
      <c r="J19" s="4798"/>
      <c r="K19" s="4798"/>
      <c r="L19" s="4798"/>
      <c r="M19" s="4798"/>
    </row>
    <row r="20" spans="1:13" ht="50.25" customHeight="1">
      <c r="A20" s="1031" t="s">
        <v>481</v>
      </c>
      <c r="B20" s="4802" t="s">
        <v>3073</v>
      </c>
      <c r="C20" s="4802"/>
      <c r="D20" s="4802"/>
      <c r="E20" s="4802"/>
      <c r="F20" s="4802"/>
      <c r="G20" s="4802"/>
      <c r="H20" s="4802"/>
      <c r="I20" s="4802"/>
      <c r="J20" s="4802"/>
      <c r="K20" s="4802"/>
      <c r="L20" s="4802"/>
      <c r="M20" s="4802"/>
    </row>
    <row r="21" spans="1:13" ht="31.5" customHeight="1">
      <c r="A21" s="1031" t="s">
        <v>482</v>
      </c>
      <c r="B21" s="4802" t="s">
        <v>3090</v>
      </c>
      <c r="C21" s="4802"/>
      <c r="D21" s="4802"/>
      <c r="E21" s="4802"/>
      <c r="F21" s="4802"/>
      <c r="G21" s="4802"/>
      <c r="H21" s="4802"/>
      <c r="I21" s="4802"/>
      <c r="J21" s="4802"/>
      <c r="K21" s="4802"/>
      <c r="L21" s="4802"/>
      <c r="M21" s="4802"/>
    </row>
    <row r="22" spans="1:13" ht="1.5" customHeight="1">
      <c r="A22" s="4800"/>
      <c r="B22" s="4800"/>
      <c r="C22" s="4800"/>
      <c r="D22" s="4800"/>
      <c r="E22" s="4800"/>
      <c r="F22" s="4800"/>
      <c r="G22" s="4800"/>
      <c r="H22" s="4800"/>
      <c r="I22" s="4800"/>
      <c r="J22" s="4800"/>
      <c r="K22" s="4800"/>
      <c r="L22" s="4800"/>
      <c r="M22" s="4800"/>
    </row>
    <row r="23" spans="1:13" ht="3" customHeight="1">
      <c r="A23" s="4800"/>
      <c r="B23" s="4800"/>
      <c r="C23" s="4800"/>
      <c r="D23" s="4800"/>
      <c r="E23" s="4800"/>
      <c r="F23" s="4800"/>
      <c r="G23" s="4800"/>
      <c r="H23" s="4800"/>
      <c r="I23" s="4800"/>
      <c r="J23" s="4800"/>
      <c r="K23" s="4800"/>
      <c r="L23" s="4800"/>
      <c r="M23" s="4800"/>
    </row>
    <row r="24" spans="1:13" ht="13.5" customHeight="1">
      <c r="A24" s="4800" t="s">
        <v>1375</v>
      </c>
      <c r="B24" s="4800"/>
      <c r="C24" s="4800"/>
      <c r="D24" s="4800"/>
      <c r="E24" s="4800"/>
      <c r="F24" s="4800"/>
      <c r="G24" s="4800"/>
      <c r="H24" s="4800"/>
      <c r="I24" s="4800"/>
      <c r="J24" s="4800"/>
      <c r="K24" s="4800"/>
      <c r="L24" s="4800"/>
      <c r="M24" s="4800"/>
    </row>
    <row r="25" spans="1:13" ht="32.25" customHeight="1">
      <c r="A25" s="1031" t="s">
        <v>1376</v>
      </c>
      <c r="B25" s="4802" t="s">
        <v>3091</v>
      </c>
      <c r="C25" s="4802"/>
      <c r="D25" s="4802"/>
      <c r="E25" s="4802"/>
      <c r="F25" s="4802"/>
      <c r="G25" s="4802"/>
      <c r="H25" s="4802"/>
      <c r="I25" s="4802"/>
      <c r="J25" s="4802"/>
      <c r="K25" s="4802"/>
      <c r="L25" s="4802"/>
      <c r="M25" s="4802"/>
    </row>
    <row r="26" spans="1:13" ht="31.5" customHeight="1">
      <c r="A26" s="1031" t="s">
        <v>1376</v>
      </c>
      <c r="B26" s="4802" t="s">
        <v>3092</v>
      </c>
      <c r="C26" s="4802"/>
      <c r="D26" s="4802"/>
      <c r="E26" s="4802"/>
      <c r="F26" s="4802"/>
      <c r="G26" s="4802"/>
      <c r="H26" s="4802"/>
      <c r="I26" s="4802"/>
      <c r="J26" s="4802"/>
      <c r="K26" s="4802"/>
      <c r="L26" s="4802"/>
      <c r="M26" s="4802"/>
    </row>
    <row r="27" spans="1:13" ht="78.75" customHeight="1">
      <c r="A27" s="1031" t="s">
        <v>1376</v>
      </c>
      <c r="B27" s="4802" t="s">
        <v>2483</v>
      </c>
      <c r="C27" s="4802"/>
      <c r="D27" s="4802"/>
      <c r="E27" s="4802"/>
      <c r="F27" s="4802"/>
      <c r="G27" s="4802"/>
      <c r="H27" s="4802"/>
      <c r="I27" s="4802"/>
      <c r="J27" s="4802"/>
      <c r="K27" s="4802"/>
      <c r="L27" s="4802"/>
      <c r="M27" s="4802"/>
    </row>
    <row r="28" spans="1:13" ht="7.5" customHeight="1">
      <c r="A28" s="4800"/>
      <c r="B28" s="4800"/>
      <c r="C28" s="4800"/>
      <c r="D28" s="4800"/>
      <c r="E28" s="4800"/>
      <c r="F28" s="4800"/>
      <c r="G28" s="4800"/>
      <c r="H28" s="4800"/>
      <c r="I28" s="4800"/>
      <c r="J28" s="4800"/>
      <c r="K28" s="4800"/>
      <c r="L28" s="4800"/>
      <c r="M28" s="4800"/>
    </row>
    <row r="29" spans="1:13" ht="43.5" customHeight="1">
      <c r="A29" s="4802" t="s">
        <v>887</v>
      </c>
      <c r="B29" s="4802"/>
      <c r="C29" s="4802"/>
      <c r="D29" s="4802"/>
      <c r="E29" s="4802"/>
      <c r="F29" s="4802"/>
      <c r="G29" s="4802"/>
      <c r="H29" s="4802"/>
      <c r="I29" s="4802"/>
      <c r="J29" s="4802"/>
      <c r="K29" s="4802"/>
      <c r="L29" s="4802"/>
      <c r="M29" s="4802"/>
    </row>
    <row r="30" spans="1:13" ht="3" customHeight="1">
      <c r="A30" s="4800"/>
      <c r="B30" s="4800"/>
      <c r="C30" s="4800"/>
      <c r="D30" s="4800"/>
      <c r="E30" s="4800"/>
      <c r="F30" s="4800"/>
      <c r="G30" s="4800"/>
      <c r="H30" s="4800"/>
      <c r="I30" s="4800"/>
      <c r="J30" s="4800"/>
      <c r="K30" s="4800"/>
      <c r="L30" s="4800"/>
      <c r="M30" s="4800"/>
    </row>
    <row r="31" spans="1:13" ht="32.25" customHeight="1">
      <c r="A31" s="4802" t="s">
        <v>2484</v>
      </c>
      <c r="B31" s="4802"/>
      <c r="C31" s="4802"/>
      <c r="D31" s="4802"/>
      <c r="E31" s="4802"/>
      <c r="F31" s="4802"/>
      <c r="G31" s="4802"/>
      <c r="H31" s="4802"/>
      <c r="I31" s="4802"/>
      <c r="J31" s="4802"/>
      <c r="K31" s="4802"/>
      <c r="L31" s="4802"/>
      <c r="M31" s="4802"/>
    </row>
    <row r="32" spans="1:13" ht="4.5" customHeight="1">
      <c r="A32" s="4800"/>
      <c r="B32" s="4800"/>
      <c r="C32" s="4800"/>
      <c r="D32" s="4800"/>
      <c r="E32" s="4800"/>
      <c r="F32" s="4800"/>
      <c r="G32" s="4800"/>
      <c r="H32" s="4800"/>
      <c r="I32" s="4800"/>
      <c r="J32" s="4800"/>
      <c r="K32" s="4800"/>
      <c r="L32" s="4800"/>
      <c r="M32" s="4800"/>
    </row>
    <row r="33" spans="1:13" ht="16.5">
      <c r="A33" s="4800" t="s">
        <v>864</v>
      </c>
      <c r="B33" s="4800"/>
      <c r="C33" s="4800"/>
      <c r="D33" s="4800"/>
      <c r="E33" s="4800"/>
      <c r="F33" s="4800"/>
      <c r="G33" s="4800"/>
      <c r="H33" s="4800"/>
      <c r="I33" s="4800"/>
      <c r="J33" s="4800"/>
      <c r="K33" s="4800"/>
      <c r="L33" s="4800"/>
      <c r="M33" s="4800"/>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4" t="s">
        <v>865</v>
      </c>
      <c r="B36" s="4804"/>
      <c r="C36" s="4804"/>
      <c r="D36" s="4804"/>
      <c r="E36" s="4804"/>
      <c r="F36" s="4804"/>
      <c r="G36" s="1032"/>
      <c r="H36" s="4804" t="s">
        <v>1839</v>
      </c>
      <c r="I36" s="4804"/>
      <c r="J36" s="4804"/>
      <c r="K36" s="4804"/>
      <c r="L36" s="4804"/>
      <c r="M36" s="4804"/>
    </row>
    <row r="37" spans="1:13" ht="6" customHeight="1">
      <c r="A37" s="1032"/>
      <c r="B37" s="1032"/>
      <c r="C37" s="1032"/>
      <c r="D37" s="1032"/>
      <c r="E37" s="1032"/>
      <c r="F37" s="1032"/>
      <c r="G37" s="1032"/>
      <c r="H37" s="1032"/>
      <c r="I37" s="1032"/>
      <c r="J37" s="1032"/>
      <c r="K37" s="1032"/>
      <c r="L37" s="1032"/>
      <c r="M37" s="1032"/>
    </row>
    <row r="38" spans="1:13" ht="16.5">
      <c r="A38" s="4805"/>
      <c r="B38" s="4805"/>
      <c r="C38" s="4805"/>
      <c r="D38" s="4805"/>
      <c r="E38" s="4805"/>
      <c r="F38" s="4805"/>
      <c r="G38" s="1032"/>
      <c r="H38" s="4806"/>
      <c r="I38" s="4806"/>
      <c r="J38" s="4806"/>
      <c r="K38" s="4806"/>
      <c r="L38" s="4806"/>
      <c r="M38" s="4806"/>
    </row>
    <row r="39" spans="1:13" ht="12" customHeight="1">
      <c r="A39" s="4804" t="s">
        <v>866</v>
      </c>
      <c r="B39" s="4804"/>
      <c r="C39" s="4804"/>
      <c r="D39" s="4804"/>
      <c r="E39" s="4804"/>
      <c r="F39" s="4804"/>
      <c r="G39" s="1032"/>
      <c r="H39" s="4804" t="s">
        <v>867</v>
      </c>
      <c r="I39" s="4804"/>
      <c r="J39" s="4804"/>
      <c r="K39" s="4804"/>
      <c r="L39" s="4804"/>
      <c r="M39" s="4804"/>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7" t="s">
        <v>868</v>
      </c>
      <c r="I41" s="4807"/>
      <c r="J41" s="4807"/>
      <c r="K41" s="4807"/>
      <c r="L41" s="4807"/>
      <c r="M41" s="4807"/>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1" t="s">
        <v>674</v>
      </c>
      <c r="B2" s="4822"/>
      <c r="C2" s="4822"/>
      <c r="D2" s="4822"/>
      <c r="E2" s="4822"/>
      <c r="F2" s="4822"/>
      <c r="G2" s="4822"/>
      <c r="H2" s="4822"/>
      <c r="I2" s="4822"/>
      <c r="J2" s="4822"/>
      <c r="K2" s="4822"/>
      <c r="L2" s="4822"/>
      <c r="M2" s="4822"/>
      <c r="N2" s="4822"/>
      <c r="O2" s="4822"/>
      <c r="P2" s="4822"/>
      <c r="Q2" s="4822"/>
      <c r="R2" s="4823"/>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6252</v>
      </c>
      <c r="K6" s="183"/>
      <c r="L6" s="183" t="s">
        <v>6154</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6155</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0" t="s">
        <v>6623</v>
      </c>
      <c r="R11" s="4810"/>
      <c r="S11" s="313"/>
      <c r="T11" s="180"/>
      <c r="U11" s="180"/>
      <c r="V11" s="970"/>
      <c r="W11" s="970"/>
      <c r="X11" s="970"/>
      <c r="AA11" s="523"/>
      <c r="AB11" s="523"/>
    </row>
    <row r="12" spans="1:28" s="293" customFormat="1" ht="11.25" hidden="1" customHeight="1">
      <c r="A12" s="183"/>
      <c r="B12" s="183"/>
      <c r="C12" s="183"/>
      <c r="D12" s="180"/>
      <c r="E12" s="180"/>
      <c r="F12" s="183" t="s">
        <v>3920</v>
      </c>
      <c r="G12" s="183"/>
      <c r="H12" s="180"/>
      <c r="I12" s="180"/>
      <c r="J12" s="579" t="s">
        <v>3144</v>
      </c>
      <c r="K12" s="303"/>
      <c r="M12" s="303"/>
      <c r="N12" s="303"/>
      <c r="O12" s="183"/>
      <c r="Q12" s="4818">
        <v>0.1</v>
      </c>
      <c r="R12" s="4819"/>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7" t="s">
        <v>3911</v>
      </c>
      <c r="R13" s="4817"/>
      <c r="S13" s="180"/>
      <c r="T13" s="180"/>
      <c r="U13" s="180"/>
      <c r="AA13" s="523"/>
      <c r="AB13" s="523"/>
    </row>
    <row r="14" spans="1:28" s="293" customFormat="1" ht="12.75" hidden="1" customHeight="1">
      <c r="A14" s="183"/>
      <c r="B14" s="183"/>
      <c r="C14" s="183"/>
      <c r="K14" s="1632" t="s">
        <v>3912</v>
      </c>
      <c r="L14" s="1631"/>
      <c r="N14" s="303"/>
      <c r="O14" s="183"/>
      <c r="P14" s="180"/>
      <c r="Q14" s="4815">
        <v>0.2</v>
      </c>
      <c r="R14" s="4816"/>
      <c r="S14" s="180"/>
      <c r="T14" s="180"/>
      <c r="U14" s="180"/>
      <c r="AA14" s="523"/>
      <c r="AB14" s="523"/>
    </row>
    <row r="15" spans="1:28" s="293" customFormat="1" ht="12.75" hidden="1" customHeight="1">
      <c r="A15" s="183"/>
      <c r="B15" s="183"/>
      <c r="C15" s="183"/>
      <c r="K15" s="1632" t="s">
        <v>3913</v>
      </c>
      <c r="L15" s="1631"/>
      <c r="N15" s="303"/>
      <c r="O15" s="183"/>
      <c r="P15" s="180"/>
      <c r="Q15" s="4813">
        <v>0.15</v>
      </c>
      <c r="R15" s="4814"/>
      <c r="S15" s="180"/>
      <c r="T15" s="180"/>
      <c r="U15" s="180"/>
      <c r="AA15" s="523"/>
      <c r="AB15" s="523"/>
    </row>
    <row r="16" spans="1:28" s="293" customFormat="1" ht="12.75" hidden="1" customHeight="1">
      <c r="A16" s="183"/>
      <c r="B16" s="183"/>
      <c r="C16" s="183"/>
      <c r="K16" s="1632" t="s">
        <v>3914</v>
      </c>
      <c r="L16" s="1631"/>
      <c r="N16" s="303"/>
      <c r="O16" s="183"/>
      <c r="P16" s="180"/>
      <c r="Q16" s="4813">
        <v>0.15</v>
      </c>
      <c r="R16" s="4814"/>
      <c r="S16" s="180"/>
      <c r="T16" s="180"/>
      <c r="U16" s="180"/>
      <c r="AA16" s="523"/>
      <c r="AB16" s="523"/>
    </row>
    <row r="17" spans="1:28" s="293" customFormat="1" ht="12.75" hidden="1" customHeight="1">
      <c r="A17" s="183"/>
      <c r="B17" s="183"/>
      <c r="C17" s="183"/>
      <c r="K17" s="1632" t="s">
        <v>3915</v>
      </c>
      <c r="L17" s="1631"/>
      <c r="N17" s="303"/>
      <c r="O17" s="183"/>
      <c r="P17" s="180"/>
      <c r="Q17" s="4813">
        <v>0.1</v>
      </c>
      <c r="R17" s="4814"/>
      <c r="S17" s="180"/>
      <c r="T17" s="180"/>
      <c r="U17" s="180"/>
      <c r="AA17" s="523"/>
      <c r="AB17" s="523"/>
    </row>
    <row r="18" spans="1:28" s="293" customFormat="1" ht="12.75" hidden="1" customHeight="1">
      <c r="A18" s="183"/>
      <c r="B18" s="183"/>
      <c r="C18" s="183"/>
      <c r="K18" s="1632" t="s">
        <v>3916</v>
      </c>
      <c r="L18" s="1631"/>
      <c r="N18" s="303"/>
      <c r="O18" s="183"/>
      <c r="P18" s="180"/>
      <c r="Q18" s="4811">
        <v>0.1</v>
      </c>
      <c r="R18" s="4812"/>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3290</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6107</v>
      </c>
      <c r="G35" s="183"/>
      <c r="H35" s="180"/>
      <c r="I35" s="180"/>
      <c r="J35" s="183" t="s">
        <v>6108</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08">
        <v>1000</v>
      </c>
      <c r="R42" s="4809"/>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08">
        <v>500</v>
      </c>
      <c r="R43" s="4809"/>
      <c r="S43" s="305"/>
      <c r="T43" s="305"/>
      <c r="U43" s="305"/>
      <c r="AA43" s="523"/>
      <c r="AB43" s="523"/>
    </row>
    <row r="44" spans="1:28" s="293" customFormat="1" ht="11.45" customHeight="1">
      <c r="A44" s="183"/>
      <c r="B44" s="183"/>
      <c r="C44" s="183"/>
      <c r="D44" s="183"/>
      <c r="E44" s="180"/>
      <c r="F44" s="185" t="s">
        <v>3325</v>
      </c>
      <c r="G44" s="183"/>
      <c r="H44" s="180"/>
      <c r="I44" s="180"/>
      <c r="J44" s="185" t="s">
        <v>3321</v>
      </c>
      <c r="K44" s="183"/>
      <c r="L44" s="183"/>
      <c r="M44" s="183"/>
      <c r="N44" s="183"/>
      <c r="O44" s="183"/>
      <c r="P44" s="180"/>
      <c r="Q44" s="4808">
        <v>1500</v>
      </c>
      <c r="R44" s="4809"/>
      <c r="S44" s="305"/>
      <c r="T44" s="305"/>
      <c r="U44" s="305"/>
      <c r="AA44" s="523"/>
      <c r="AB44" s="523"/>
    </row>
    <row r="45" spans="1:28" s="293" customFormat="1" ht="11.45" customHeight="1">
      <c r="A45" s="183"/>
      <c r="B45" s="183"/>
      <c r="C45" s="183"/>
      <c r="D45" s="183"/>
      <c r="E45" s="180"/>
      <c r="G45" s="183"/>
      <c r="H45" s="180"/>
      <c r="I45" s="180"/>
      <c r="J45" s="185" t="s">
        <v>3322</v>
      </c>
      <c r="K45" s="183"/>
      <c r="L45" s="183"/>
      <c r="M45" s="183"/>
      <c r="N45" s="183"/>
      <c r="O45" s="183"/>
      <c r="P45" s="180"/>
      <c r="Q45" s="4808">
        <v>1500</v>
      </c>
      <c r="R45" s="4809"/>
      <c r="S45" s="305"/>
      <c r="T45" s="305"/>
      <c r="U45" s="305"/>
      <c r="AA45" s="523"/>
      <c r="AB45" s="523"/>
    </row>
    <row r="46" spans="1:28" s="293" customFormat="1" ht="11.45" customHeight="1">
      <c r="A46" s="183"/>
      <c r="B46" s="183"/>
      <c r="C46" s="183"/>
      <c r="D46" s="183"/>
      <c r="E46" s="180"/>
      <c r="G46" s="183"/>
      <c r="H46" s="180"/>
      <c r="I46" s="180"/>
      <c r="J46" s="185" t="s">
        <v>3323</v>
      </c>
      <c r="K46" s="183"/>
      <c r="L46" s="183"/>
      <c r="M46" s="183"/>
      <c r="N46" s="183"/>
      <c r="O46" s="183"/>
      <c r="P46" s="180"/>
      <c r="Q46" s="4808">
        <v>1500</v>
      </c>
      <c r="R46" s="4809"/>
      <c r="S46" s="305"/>
      <c r="T46" s="305"/>
      <c r="U46" s="305"/>
      <c r="AA46" s="523"/>
      <c r="AB46" s="523"/>
    </row>
    <row r="47" spans="1:28" s="293" customFormat="1" ht="11.45" customHeight="1">
      <c r="A47" s="183"/>
      <c r="B47" s="183"/>
      <c r="C47" s="183"/>
      <c r="D47" s="183"/>
      <c r="E47" s="180"/>
      <c r="G47" s="183"/>
      <c r="H47" s="180"/>
      <c r="I47" s="180"/>
      <c r="J47" s="185" t="s">
        <v>3324</v>
      </c>
      <c r="K47" s="183"/>
      <c r="L47" s="183"/>
      <c r="M47" s="183"/>
      <c r="N47" s="183"/>
      <c r="O47" s="183"/>
      <c r="P47" s="180"/>
      <c r="Q47" s="4808">
        <v>1500</v>
      </c>
      <c r="R47" s="4809"/>
      <c r="S47" s="305"/>
      <c r="T47" s="305"/>
      <c r="U47" s="305"/>
      <c r="AA47" s="523"/>
      <c r="AB47" s="523"/>
    </row>
    <row r="48" spans="1:28" s="293" customFormat="1" ht="11.45" customHeight="1">
      <c r="A48" s="183"/>
      <c r="B48" s="183"/>
      <c r="C48" s="183"/>
      <c r="D48" s="183"/>
      <c r="E48" s="180"/>
      <c r="F48" s="185" t="s">
        <v>3778</v>
      </c>
      <c r="G48" s="183"/>
      <c r="H48" s="180"/>
      <c r="I48" s="180"/>
      <c r="J48" s="183" t="s">
        <v>1127</v>
      </c>
      <c r="K48" s="183"/>
      <c r="L48" s="183"/>
      <c r="M48" s="183"/>
      <c r="N48" s="183"/>
      <c r="O48" s="183"/>
      <c r="P48" s="180"/>
      <c r="Q48" s="4808">
        <v>6500</v>
      </c>
      <c r="R48" s="4809"/>
      <c r="S48" s="305"/>
      <c r="T48" s="305"/>
      <c r="U48" s="305"/>
      <c r="AA48" s="523"/>
      <c r="AB48" s="523"/>
    </row>
    <row r="49" spans="1:28" s="293" customFormat="1" ht="11.45" customHeight="1">
      <c r="A49" s="183"/>
      <c r="B49" s="183"/>
      <c r="C49" s="183"/>
      <c r="D49" s="183"/>
      <c r="E49" s="180"/>
      <c r="F49" s="185" t="s">
        <v>3778</v>
      </c>
      <c r="G49" s="183"/>
      <c r="H49" s="180"/>
      <c r="I49" s="180"/>
      <c r="J49" s="183" t="s">
        <v>1128</v>
      </c>
      <c r="K49" s="183"/>
      <c r="L49" s="183"/>
      <c r="M49" s="183"/>
      <c r="N49" s="183"/>
      <c r="O49" s="183"/>
      <c r="P49" s="180"/>
      <c r="Q49" s="4808">
        <v>5500</v>
      </c>
      <c r="R49" s="4809"/>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08">
        <v>5500</v>
      </c>
      <c r="R50" s="4809"/>
      <c r="S50" s="305"/>
      <c r="T50" s="305"/>
      <c r="U50" s="305"/>
      <c r="AA50" s="523"/>
      <c r="AB50" s="523"/>
    </row>
    <row r="51" spans="1:28" s="293" customFormat="1" ht="11.45" customHeight="1">
      <c r="A51" s="183"/>
      <c r="B51" s="183"/>
      <c r="C51" s="183"/>
      <c r="D51" s="183"/>
      <c r="E51" s="180"/>
      <c r="F51" s="185"/>
      <c r="G51" s="183" t="s">
        <v>3776</v>
      </c>
      <c r="H51" s="180"/>
      <c r="I51" s="180"/>
      <c r="J51" s="183" t="s">
        <v>3777</v>
      </c>
      <c r="K51" s="183"/>
      <c r="L51" s="183"/>
      <c r="M51" s="183"/>
      <c r="N51" s="183"/>
      <c r="O51" s="183"/>
      <c r="P51" s="180"/>
      <c r="Q51" s="4808">
        <v>500</v>
      </c>
      <c r="R51" s="4809"/>
      <c r="S51" s="305"/>
      <c r="T51" s="305"/>
      <c r="U51" s="305"/>
      <c r="AA51" s="523"/>
      <c r="AB51" s="523"/>
    </row>
    <row r="52" spans="1:28" s="293" customFormat="1" ht="11.45" customHeight="1">
      <c r="A52" s="183"/>
      <c r="B52" s="183"/>
      <c r="C52" s="183"/>
      <c r="D52" s="183"/>
      <c r="E52" s="180"/>
      <c r="F52" s="185" t="s">
        <v>3319</v>
      </c>
      <c r="G52" s="183"/>
      <c r="H52" s="180"/>
      <c r="I52" s="180"/>
      <c r="J52" s="183"/>
      <c r="K52" s="183"/>
      <c r="L52" s="183"/>
      <c r="M52" s="183"/>
      <c r="N52" s="183"/>
      <c r="O52" s="183"/>
      <c r="P52" s="180"/>
      <c r="Q52" s="4808">
        <v>1500</v>
      </c>
      <c r="R52" s="4809"/>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0">
        <v>0.08</v>
      </c>
      <c r="R53" s="4820"/>
      <c r="S53" s="305"/>
      <c r="T53" s="305"/>
      <c r="U53" s="305"/>
      <c r="AA53" s="523"/>
      <c r="AB53" s="523"/>
    </row>
    <row r="54" spans="1:28" s="293" customFormat="1" ht="11.45" customHeight="1">
      <c r="A54" s="183"/>
      <c r="C54" s="183"/>
      <c r="D54" s="180"/>
      <c r="E54" s="180"/>
      <c r="F54" s="185" t="s">
        <v>6106</v>
      </c>
      <c r="H54" s="183"/>
      <c r="I54" s="180"/>
      <c r="J54" s="183" t="s">
        <v>890</v>
      </c>
      <c r="K54" s="183"/>
      <c r="L54" s="183"/>
      <c r="M54" s="183"/>
      <c r="N54" s="183"/>
      <c r="O54" s="183"/>
      <c r="P54" s="180"/>
      <c r="Q54" s="4820">
        <v>0.08</v>
      </c>
      <c r="R54" s="4820"/>
      <c r="S54" s="305"/>
      <c r="T54" s="305"/>
      <c r="U54" s="305"/>
      <c r="AA54" s="523"/>
      <c r="AB54" s="523"/>
    </row>
    <row r="55" spans="1:28" s="293" customFormat="1" ht="11.45" customHeight="1">
      <c r="A55" s="183"/>
      <c r="C55" s="183"/>
      <c r="D55" s="180"/>
      <c r="E55" s="180"/>
      <c r="F55" s="185" t="s">
        <v>3779</v>
      </c>
      <c r="H55" s="183"/>
      <c r="I55" s="180"/>
      <c r="J55" s="183"/>
      <c r="K55" s="183"/>
      <c r="L55" s="183"/>
      <c r="M55" s="183"/>
      <c r="N55" s="183"/>
      <c r="O55" s="183"/>
      <c r="P55" s="180"/>
      <c r="Q55" s="4808"/>
      <c r="R55" s="4809"/>
      <c r="S55" s="305"/>
      <c r="T55" s="305"/>
      <c r="U55" s="305"/>
      <c r="AA55" s="523"/>
      <c r="AB55" s="523"/>
    </row>
    <row r="56" spans="1:28" s="293" customFormat="1" ht="11.45" customHeight="1">
      <c r="A56" s="183"/>
      <c r="C56" s="183"/>
      <c r="D56" s="180"/>
      <c r="E56" s="180"/>
      <c r="F56" s="185" t="s">
        <v>3289</v>
      </c>
      <c r="H56" s="183"/>
      <c r="I56" s="180"/>
      <c r="J56" s="183"/>
      <c r="K56" s="183"/>
      <c r="L56" s="183"/>
      <c r="M56" s="183"/>
      <c r="N56" s="183"/>
      <c r="O56" s="183"/>
      <c r="P56" s="180"/>
      <c r="Q56" s="4808">
        <v>1500</v>
      </c>
      <c r="R56" s="4809"/>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08">
        <v>800</v>
      </c>
      <c r="R57" s="4809"/>
      <c r="S57" s="305"/>
      <c r="T57" s="305"/>
      <c r="U57" s="305"/>
      <c r="AA57" s="523"/>
      <c r="AB57" s="523"/>
    </row>
    <row r="58" spans="1:28" s="293" customFormat="1" ht="11.45" customHeight="1">
      <c r="A58" s="183"/>
      <c r="C58" s="183"/>
      <c r="D58" s="180"/>
      <c r="E58" s="180"/>
      <c r="F58" s="183"/>
      <c r="H58" s="183"/>
      <c r="I58" s="183" t="s">
        <v>3780</v>
      </c>
      <c r="J58" s="183" t="s">
        <v>1433</v>
      </c>
      <c r="K58" s="183"/>
      <c r="L58" s="183"/>
      <c r="M58" s="183"/>
      <c r="N58" s="183"/>
      <c r="O58" s="183"/>
      <c r="P58" s="180"/>
      <c r="Q58" s="4808">
        <v>1000</v>
      </c>
      <c r="R58" s="4809"/>
      <c r="S58" s="305"/>
      <c r="T58" s="305"/>
      <c r="U58" s="305"/>
      <c r="AA58" s="523"/>
      <c r="AB58" s="523"/>
    </row>
    <row r="59" spans="1:28" s="293" customFormat="1" ht="11.45" customHeight="1">
      <c r="A59" s="183"/>
      <c r="B59" s="183"/>
      <c r="C59" s="183"/>
      <c r="D59" s="180"/>
      <c r="E59" s="180"/>
      <c r="H59" s="185" t="s">
        <v>2448</v>
      </c>
      <c r="I59" s="315"/>
      <c r="J59" s="185" t="s">
        <v>1433</v>
      </c>
      <c r="K59" s="185" t="s">
        <v>3299</v>
      </c>
      <c r="L59" s="185"/>
      <c r="M59" s="185"/>
      <c r="N59" s="185"/>
      <c r="O59" s="185"/>
      <c r="P59" s="315"/>
      <c r="Q59" s="4808">
        <v>800</v>
      </c>
      <c r="R59" s="4809"/>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08">
        <v>1500</v>
      </c>
      <c r="R60" s="4809"/>
      <c r="S60" s="305"/>
      <c r="T60" s="305"/>
      <c r="U60" s="305"/>
      <c r="AA60" s="523"/>
      <c r="AB60" s="523"/>
    </row>
    <row r="61" spans="1:28" s="293" customFormat="1" ht="11.45" customHeight="1">
      <c r="A61" s="183"/>
      <c r="B61" s="183"/>
      <c r="C61" s="183"/>
      <c r="D61" s="180"/>
      <c r="E61" s="180"/>
      <c r="F61" s="183" t="s">
        <v>3414</v>
      </c>
      <c r="I61" s="180"/>
      <c r="J61" s="183" t="s">
        <v>3782</v>
      </c>
      <c r="K61" s="183"/>
      <c r="L61" s="183"/>
      <c r="M61" s="183"/>
      <c r="N61" s="183"/>
      <c r="O61" s="183"/>
      <c r="P61" s="180"/>
      <c r="Q61" s="4832">
        <v>750</v>
      </c>
      <c r="R61" s="4833"/>
      <c r="S61" s="305"/>
      <c r="T61" s="305"/>
      <c r="U61" s="305"/>
      <c r="AA61" s="523"/>
      <c r="AB61" s="523"/>
    </row>
    <row r="62" spans="1:28" s="293" customFormat="1" ht="11.45" customHeight="1">
      <c r="A62" s="183"/>
      <c r="B62" s="183"/>
      <c r="C62" s="183"/>
      <c r="D62" s="180"/>
      <c r="E62" s="180"/>
      <c r="F62" s="183" t="s">
        <v>3781</v>
      </c>
      <c r="I62" s="180"/>
      <c r="J62" s="183" t="s">
        <v>1639</v>
      </c>
      <c r="K62" s="183"/>
      <c r="L62" s="183"/>
      <c r="M62" s="183"/>
      <c r="N62" s="183"/>
      <c r="O62" s="183"/>
      <c r="P62" s="180"/>
      <c r="Q62" s="4808">
        <v>3000</v>
      </c>
      <c r="R62" s="4809"/>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08">
        <v>75</v>
      </c>
      <c r="R63" s="4809"/>
      <c r="S63" s="305"/>
      <c r="T63" s="305"/>
      <c r="U63" s="305"/>
      <c r="AA63" s="523"/>
      <c r="AB63" s="523"/>
    </row>
    <row r="64" spans="1:28" customFormat="1" ht="11.25" customHeight="1">
      <c r="B64" s="183" t="s">
        <v>1726</v>
      </c>
      <c r="C64" s="27"/>
      <c r="F64" s="1634" t="s">
        <v>3917</v>
      </c>
      <c r="G64" s="1631"/>
      <c r="H64" s="1632"/>
      <c r="I64" s="27"/>
      <c r="J64" s="183" t="s">
        <v>3923</v>
      </c>
      <c r="K64" s="183" t="s">
        <v>3924</v>
      </c>
      <c r="L64" s="1641"/>
      <c r="M64" s="1641"/>
      <c r="N64" s="1641"/>
      <c r="O64" s="1640" t="s">
        <v>3918</v>
      </c>
    </row>
    <row r="65" spans="1:28" customFormat="1" ht="11.25" customHeight="1">
      <c r="B65" s="27"/>
      <c r="C65" s="27"/>
      <c r="F65" s="160"/>
      <c r="G65" s="27"/>
      <c r="H65" s="1635">
        <v>0.09</v>
      </c>
      <c r="I65" s="27"/>
      <c r="J65" s="1642">
        <v>1</v>
      </c>
      <c r="K65" s="1644">
        <v>50</v>
      </c>
      <c r="Q65" s="4829">
        <v>27500</v>
      </c>
      <c r="R65" s="4829"/>
    </row>
    <row r="66" spans="1:28" customFormat="1" ht="11.25" customHeight="1">
      <c r="B66" s="27"/>
      <c r="C66" s="27"/>
      <c r="F66" s="160"/>
      <c r="G66" s="27"/>
      <c r="H66" s="1636"/>
      <c r="I66" s="27"/>
      <c r="J66" s="1642">
        <v>51</v>
      </c>
      <c r="K66" s="1644">
        <v>70</v>
      </c>
      <c r="Q66" s="4828">
        <v>22000</v>
      </c>
      <c r="R66" s="4828"/>
    </row>
    <row r="67" spans="1:28" customFormat="1" ht="11.25" customHeight="1">
      <c r="B67" s="27"/>
      <c r="C67" s="27"/>
      <c r="F67" s="160"/>
      <c r="G67" s="27"/>
      <c r="H67" s="1943"/>
      <c r="I67" s="213"/>
      <c r="J67" s="1944">
        <v>71</v>
      </c>
      <c r="K67" s="1945"/>
      <c r="L67" s="1946"/>
      <c r="M67" s="1946"/>
      <c r="N67" s="1946"/>
      <c r="O67" s="1946"/>
      <c r="P67" s="1947"/>
      <c r="Q67" s="4830">
        <v>16500</v>
      </c>
      <c r="R67" s="4830"/>
    </row>
    <row r="68" spans="1:28" customFormat="1" ht="11.25" customHeight="1">
      <c r="B68" s="27"/>
      <c r="C68" s="27"/>
      <c r="F68" s="27"/>
      <c r="G68" s="27"/>
      <c r="H68" s="1948">
        <v>0.04</v>
      </c>
      <c r="I68" s="1949"/>
      <c r="J68" s="1950">
        <v>1</v>
      </c>
      <c r="K68" s="1950">
        <v>50</v>
      </c>
      <c r="L68" s="1951"/>
      <c r="M68" s="1951"/>
      <c r="N68" s="1951"/>
      <c r="O68" s="1951"/>
      <c r="P68" s="1952"/>
      <c r="Q68" s="4829">
        <v>27500</v>
      </c>
      <c r="R68" s="4829"/>
    </row>
    <row r="69" spans="1:28" customFormat="1" ht="11.25" customHeight="1">
      <c r="B69" s="27"/>
      <c r="C69" s="27"/>
      <c r="F69" s="27"/>
      <c r="G69" s="27"/>
      <c r="H69" s="1637"/>
      <c r="I69" s="27"/>
      <c r="J69" s="1642">
        <v>51</v>
      </c>
      <c r="K69" s="1644">
        <v>70</v>
      </c>
      <c r="Q69" s="4828">
        <v>22000</v>
      </c>
      <c r="R69" s="4828"/>
    </row>
    <row r="70" spans="1:28" customFormat="1" ht="11.25" customHeight="1">
      <c r="B70" s="27"/>
      <c r="C70" s="27"/>
      <c r="F70" s="27"/>
      <c r="G70" s="27"/>
      <c r="H70" s="1637"/>
      <c r="I70" s="27"/>
      <c r="J70" s="1642">
        <v>71</v>
      </c>
      <c r="K70" s="1643"/>
      <c r="Q70" s="4830">
        <v>16500</v>
      </c>
      <c r="R70" s="4830"/>
    </row>
    <row r="71" spans="1:28" customFormat="1" ht="11.25" customHeight="1">
      <c r="B71" s="27"/>
      <c r="C71" s="27"/>
      <c r="F71" s="1632" t="s">
        <v>3919</v>
      </c>
      <c r="G71" s="27"/>
      <c r="H71" s="1638"/>
      <c r="I71" s="1633"/>
    </row>
    <row r="72" spans="1:28" customFormat="1" ht="11.25" customHeight="1">
      <c r="B72" s="27"/>
      <c r="C72" s="27"/>
      <c r="F72" s="27"/>
      <c r="G72" s="27"/>
      <c r="H72" s="1639">
        <v>0.09</v>
      </c>
      <c r="I72" s="1632"/>
      <c r="J72" s="27"/>
      <c r="Q72" s="4831">
        <v>2000000</v>
      </c>
      <c r="R72" s="4831"/>
    </row>
    <row r="73" spans="1:28" customFormat="1" ht="11.25" customHeight="1">
      <c r="B73" s="27"/>
      <c r="C73" s="27"/>
      <c r="F73" s="27"/>
      <c r="G73" s="27"/>
      <c r="H73" s="1639">
        <v>0.04</v>
      </c>
      <c r="I73" s="1632"/>
      <c r="J73" s="27"/>
      <c r="Q73" s="4831">
        <v>3500000</v>
      </c>
      <c r="R73" s="4831"/>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4">
        <v>3500000</v>
      </c>
      <c r="R75" s="4825"/>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08">
        <v>3000</v>
      </c>
      <c r="R88" s="4809"/>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6">
        <v>0.02</v>
      </c>
      <c r="R96" s="484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4">
        <v>7.0000000000000007E-2</v>
      </c>
      <c r="R97" s="4844"/>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4">
        <v>7.0000000000000007E-2</v>
      </c>
      <c r="R98" s="4844"/>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4">
        <v>0.03</v>
      </c>
      <c r="R99" s="4844"/>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4">
        <v>0.03</v>
      </c>
      <c r="R100" s="4844"/>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5">
        <v>0</v>
      </c>
      <c r="R101" s="4845"/>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6">
        <v>0.1</v>
      </c>
      <c r="R103" s="4846"/>
      <c r="S103" s="180"/>
      <c r="T103" s="180"/>
      <c r="U103" s="180"/>
      <c r="V103" s="916"/>
      <c r="W103" s="916"/>
      <c r="X103" s="184"/>
      <c r="AA103" s="523"/>
      <c r="AB103" s="523"/>
    </row>
    <row r="104" spans="1:28" s="293" customFormat="1" ht="11.45" customHeight="1">
      <c r="A104" s="298"/>
      <c r="B104" s="183"/>
      <c r="C104" s="183"/>
      <c r="D104" s="180"/>
      <c r="E104" s="180"/>
      <c r="F104" s="183"/>
      <c r="G104" s="183" t="s">
        <v>3308</v>
      </c>
      <c r="I104" s="180"/>
      <c r="J104" s="183" t="s">
        <v>3309</v>
      </c>
      <c r="K104" s="183"/>
      <c r="L104" s="183"/>
      <c r="M104" s="183"/>
      <c r="N104" s="183"/>
      <c r="O104" s="183"/>
      <c r="P104" s="180"/>
      <c r="Q104" s="4834">
        <v>1150000</v>
      </c>
      <c r="R104" s="4834"/>
      <c r="S104" s="180"/>
      <c r="T104" s="180"/>
      <c r="U104" s="180"/>
      <c r="V104" s="916"/>
      <c r="W104" s="916"/>
      <c r="X104" s="184"/>
      <c r="AA104" s="523"/>
      <c r="AB104" s="523"/>
    </row>
    <row r="105" spans="1:28" s="293" customFormat="1" ht="11.45" customHeight="1">
      <c r="A105" s="183"/>
      <c r="B105" s="183"/>
      <c r="C105" s="183"/>
      <c r="D105" s="180"/>
      <c r="E105" s="180"/>
      <c r="F105" s="183"/>
      <c r="G105" s="183" t="s">
        <v>6510</v>
      </c>
      <c r="H105" s="183" t="s">
        <v>6102</v>
      </c>
      <c r="J105" s="183" t="s">
        <v>6521</v>
      </c>
      <c r="K105" s="183"/>
      <c r="L105" s="183"/>
      <c r="M105" s="183"/>
      <c r="O105" s="183" t="s">
        <v>6515</v>
      </c>
      <c r="P105" s="180"/>
      <c r="Q105" s="4834">
        <v>1150000</v>
      </c>
      <c r="R105" s="4834"/>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6513</v>
      </c>
      <c r="I106" s="180"/>
      <c r="J106" s="183" t="s">
        <v>6521</v>
      </c>
      <c r="K106" s="183"/>
      <c r="O106" s="183" t="s">
        <v>6516</v>
      </c>
      <c r="Q106" s="4834">
        <v>1035000</v>
      </c>
      <c r="R106" s="4834"/>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6511</v>
      </c>
      <c r="I107" s="180"/>
      <c r="J107" s="183" t="s">
        <v>6521</v>
      </c>
      <c r="K107" s="183"/>
      <c r="O107" s="183" t="s">
        <v>6515</v>
      </c>
      <c r="Q107" s="4842">
        <v>1035000</v>
      </c>
      <c r="R107" s="4843"/>
      <c r="S107" s="299"/>
      <c r="T107" s="299"/>
      <c r="U107" s="180"/>
      <c r="V107" s="970"/>
      <c r="W107" s="970"/>
      <c r="X107" s="970"/>
      <c r="AA107" s="523"/>
      <c r="AB107" s="523"/>
    </row>
    <row r="108" spans="1:28" s="293" customFormat="1" ht="11.45" customHeight="1">
      <c r="A108" s="183"/>
      <c r="B108" s="183"/>
      <c r="C108" s="183"/>
      <c r="D108" s="180"/>
      <c r="E108" s="180"/>
      <c r="F108" s="183"/>
      <c r="G108" s="183" t="s">
        <v>3774</v>
      </c>
      <c r="I108" s="180"/>
      <c r="J108" s="183" t="s">
        <v>6521</v>
      </c>
      <c r="K108" s="183"/>
      <c r="L108" s="183"/>
      <c r="M108" s="183"/>
      <c r="O108" s="183" t="s">
        <v>6517</v>
      </c>
      <c r="P108" s="180"/>
      <c r="Q108" s="4837">
        <v>1150000</v>
      </c>
      <c r="R108" s="4837"/>
      <c r="S108" s="299"/>
      <c r="T108" s="299"/>
      <c r="U108" s="180"/>
      <c r="V108" s="970"/>
      <c r="W108" s="970"/>
      <c r="X108" s="970"/>
      <c r="AA108" s="523"/>
      <c r="AB108" s="523"/>
    </row>
    <row r="109" spans="1:28" s="293" customFormat="1" ht="11.45" customHeight="1">
      <c r="A109" s="183"/>
      <c r="B109" s="183"/>
      <c r="C109" s="183"/>
      <c r="D109" s="180"/>
      <c r="E109" s="180"/>
      <c r="G109" s="183" t="s">
        <v>6520</v>
      </c>
      <c r="H109" s="183"/>
      <c r="I109" s="180"/>
      <c r="J109" s="183" t="s">
        <v>6522</v>
      </c>
      <c r="K109" s="183"/>
      <c r="L109" s="183"/>
      <c r="M109" s="183"/>
      <c r="N109" s="183"/>
      <c r="O109" s="183"/>
      <c r="P109" s="180"/>
      <c r="Q109" s="4838"/>
      <c r="R109" s="4839"/>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3315</v>
      </c>
      <c r="K110" s="183"/>
      <c r="L110" s="183"/>
      <c r="M110" s="183"/>
      <c r="N110" s="183"/>
      <c r="O110" s="183"/>
      <c r="P110" s="180"/>
      <c r="Q110" s="4835">
        <v>4000000</v>
      </c>
      <c r="R110" s="4835"/>
      <c r="S110" s="299"/>
      <c r="T110" s="299"/>
      <c r="U110" s="180"/>
      <c r="V110" s="970"/>
      <c r="W110" s="970"/>
      <c r="X110" s="970"/>
      <c r="AA110" s="523"/>
      <c r="AB110" s="523"/>
    </row>
    <row r="111" spans="1:28" s="293" customFormat="1" ht="11.45" customHeight="1">
      <c r="A111" s="183"/>
      <c r="B111" s="183"/>
      <c r="C111" s="183"/>
      <c r="D111" s="180"/>
      <c r="E111" s="180"/>
      <c r="F111" s="183"/>
      <c r="G111" s="183" t="s">
        <v>6519</v>
      </c>
      <c r="H111" s="180"/>
      <c r="I111" s="180"/>
      <c r="J111" s="183" t="s">
        <v>6521</v>
      </c>
      <c r="K111" s="183"/>
      <c r="O111" s="183" t="s">
        <v>6515</v>
      </c>
      <c r="Q111" s="4840">
        <v>1035000</v>
      </c>
      <c r="R111" s="4841"/>
      <c r="S111" s="299"/>
      <c r="T111" s="299"/>
      <c r="U111" s="180"/>
      <c r="V111" s="970"/>
      <c r="W111" s="970"/>
      <c r="X111" s="970"/>
      <c r="AA111" s="523"/>
      <c r="AB111" s="523"/>
    </row>
    <row r="112" spans="1:28" ht="12.75" customHeight="1">
      <c r="A112" s="298" t="s">
        <v>2512</v>
      </c>
      <c r="J112" s="183" t="s">
        <v>2446</v>
      </c>
      <c r="Q112" s="4849" t="s">
        <v>6105</v>
      </c>
      <c r="R112" s="4849"/>
    </row>
    <row r="113" spans="1:28" ht="11.25" customHeight="1">
      <c r="F113" s="183" t="s">
        <v>2393</v>
      </c>
      <c r="G113" s="183"/>
      <c r="H113" s="183" t="s">
        <v>6104</v>
      </c>
      <c r="I113" s="180"/>
      <c r="J113" s="4846">
        <v>0.35</v>
      </c>
      <c r="K113" s="4846"/>
      <c r="L113" s="183"/>
      <c r="M113" s="183"/>
      <c r="N113" s="183"/>
      <c r="O113" s="183"/>
      <c r="P113" s="180"/>
      <c r="Q113" s="4835">
        <v>1035000</v>
      </c>
      <c r="R113" s="4835"/>
    </row>
    <row r="114" spans="1:28" ht="11.25" customHeight="1">
      <c r="A114" s="298"/>
      <c r="F114" s="183" t="s">
        <v>6103</v>
      </c>
      <c r="G114" s="183"/>
      <c r="H114" s="183" t="s">
        <v>6104</v>
      </c>
      <c r="I114" s="180"/>
      <c r="J114" s="4844">
        <v>0.35</v>
      </c>
      <c r="K114" s="4844"/>
      <c r="L114" s="183"/>
      <c r="M114" s="183"/>
      <c r="N114" s="183"/>
      <c r="O114" s="183"/>
      <c r="P114" s="180"/>
      <c r="Q114" s="4834">
        <v>1150000</v>
      </c>
      <c r="R114" s="4834"/>
    </row>
    <row r="115" spans="1:28" s="293" customFormat="1" ht="11.25" customHeight="1">
      <c r="A115" s="298"/>
      <c r="B115" s="183"/>
      <c r="C115" s="183"/>
      <c r="D115" s="180"/>
      <c r="E115" s="180"/>
      <c r="F115" s="183" t="s">
        <v>3023</v>
      </c>
      <c r="G115" s="183"/>
      <c r="H115" s="183" t="s">
        <v>6104</v>
      </c>
      <c r="I115" s="180"/>
      <c r="J115" s="4845">
        <v>0.3</v>
      </c>
      <c r="K115" s="4845"/>
      <c r="L115" s="183"/>
      <c r="M115" s="183"/>
      <c r="N115" s="183"/>
      <c r="O115" s="183"/>
      <c r="P115" s="180"/>
      <c r="Q115" s="4836">
        <v>1150000</v>
      </c>
      <c r="R115" s="483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6">
        <v>0.05</v>
      </c>
      <c r="R117" s="484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4">
        <v>0.4</v>
      </c>
      <c r="R118" s="4844"/>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5">
        <v>0.02</v>
      </c>
      <c r="R119" s="484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5" t="s">
        <v>3403</v>
      </c>
      <c r="E132" s="305"/>
      <c r="F132" s="305"/>
    </row>
    <row r="133" spans="2:37" ht="10.5" customHeight="1">
      <c r="C133" s="4855"/>
      <c r="E133" s="305"/>
      <c r="F133" s="305"/>
    </row>
    <row r="134" spans="2:37" ht="10.5" customHeight="1">
      <c r="C134" s="485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3494</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3495</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3496</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3497</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2401</v>
      </c>
      <c r="K139" s="994" t="s">
        <v>6731</v>
      </c>
      <c r="L139" s="995" t="s">
        <v>399</v>
      </c>
      <c r="M139" s="2648" t="s">
        <v>1123</v>
      </c>
      <c r="N139" s="1111" t="s">
        <v>1658</v>
      </c>
      <c r="O139" s="1271" t="s">
        <v>3498</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3499</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3500</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6732</v>
      </c>
      <c r="L142" s="995" t="s">
        <v>399</v>
      </c>
      <c r="M142" s="2648" t="s">
        <v>1123</v>
      </c>
      <c r="N142" s="1111" t="s">
        <v>1132</v>
      </c>
      <c r="O142" s="1271" t="s">
        <v>3501</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6732</v>
      </c>
      <c r="L143" s="995" t="s">
        <v>399</v>
      </c>
      <c r="M143" s="2648" t="s">
        <v>1123</v>
      </c>
      <c r="N143" s="1111" t="s">
        <v>1132</v>
      </c>
      <c r="O143" s="1271" t="s">
        <v>3502</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3503</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3504</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6733</v>
      </c>
      <c r="L146" s="995" t="s">
        <v>399</v>
      </c>
      <c r="M146" s="2648" t="s">
        <v>1123</v>
      </c>
      <c r="N146" s="1111" t="s">
        <v>1243</v>
      </c>
      <c r="O146" s="1271" t="s">
        <v>3505</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3506</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3507</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3508</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3509</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3510</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6734</v>
      </c>
      <c r="L152" s="995" t="s">
        <v>399</v>
      </c>
      <c r="M152" s="2648" t="s">
        <v>2393</v>
      </c>
      <c r="N152" s="1111" t="s">
        <v>1253</v>
      </c>
      <c r="O152" s="1271" t="s">
        <v>3511</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3512</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3513</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3514</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3515</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6732</v>
      </c>
      <c r="L157" s="995" t="s">
        <v>399</v>
      </c>
      <c r="M157" s="2648" t="s">
        <v>1123</v>
      </c>
      <c r="N157" s="1111" t="s">
        <v>1132</v>
      </c>
      <c r="O157" s="1271" t="s">
        <v>3516</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3517</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3518</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3519</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6735</v>
      </c>
      <c r="L161" s="995" t="s">
        <v>399</v>
      </c>
      <c r="M161" s="2648" t="s">
        <v>2393</v>
      </c>
      <c r="N161" s="1111" t="s">
        <v>154</v>
      </c>
      <c r="O161" s="1271" t="s">
        <v>3520</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3521</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6732</v>
      </c>
      <c r="L163" s="995" t="s">
        <v>399</v>
      </c>
      <c r="M163" s="2648" t="s">
        <v>1123</v>
      </c>
      <c r="N163" s="1111" t="s">
        <v>1132</v>
      </c>
      <c r="O163" s="1271" t="s">
        <v>3522</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3523</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3524</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6732</v>
      </c>
      <c r="L166" s="995" t="s">
        <v>399</v>
      </c>
      <c r="M166" s="2648" t="s">
        <v>1123</v>
      </c>
      <c r="N166" s="1111" t="s">
        <v>1132</v>
      </c>
      <c r="O166" s="1271" t="s">
        <v>3525</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3526</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6732</v>
      </c>
      <c r="L168" s="995" t="s">
        <v>399</v>
      </c>
      <c r="M168" s="2648" t="s">
        <v>1123</v>
      </c>
      <c r="N168" s="1111" t="s">
        <v>1132</v>
      </c>
      <c r="O168" s="1271" t="s">
        <v>3527</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3528</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3529</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6734</v>
      </c>
      <c r="L171" s="995" t="s">
        <v>399</v>
      </c>
      <c r="M171" s="2648" t="s">
        <v>2393</v>
      </c>
      <c r="N171" s="1111" t="s">
        <v>1253</v>
      </c>
      <c r="O171" s="1271" t="s">
        <v>3530</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3531</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6732</v>
      </c>
      <c r="L173" s="995" t="s">
        <v>399</v>
      </c>
      <c r="M173" s="2648" t="s">
        <v>1123</v>
      </c>
      <c r="N173" s="1111" t="s">
        <v>1132</v>
      </c>
      <c r="O173" s="1271" t="s">
        <v>3532</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6733</v>
      </c>
      <c r="L174" s="995" t="s">
        <v>399</v>
      </c>
      <c r="M174" s="2648" t="s">
        <v>2393</v>
      </c>
      <c r="N174" s="1111" t="s">
        <v>1243</v>
      </c>
      <c r="O174" s="1271" t="s">
        <v>3533</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3534</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3535</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6732</v>
      </c>
      <c r="L177" s="995" t="s">
        <v>399</v>
      </c>
      <c r="M177" s="2648" t="s">
        <v>1123</v>
      </c>
      <c r="N177" s="1111" t="s">
        <v>1132</v>
      </c>
      <c r="O177" s="1271" t="s">
        <v>3536</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3537</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6732</v>
      </c>
      <c r="L179" s="995" t="s">
        <v>399</v>
      </c>
      <c r="M179" s="2648" t="s">
        <v>1123</v>
      </c>
      <c r="N179" s="1111" t="s">
        <v>1132</v>
      </c>
      <c r="O179" s="1271" t="s">
        <v>3538</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3539</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3540</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3541</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6732</v>
      </c>
      <c r="L183" s="995" t="s">
        <v>399</v>
      </c>
      <c r="M183" s="2648" t="s">
        <v>1123</v>
      </c>
      <c r="N183" s="1111" t="s">
        <v>1132</v>
      </c>
      <c r="O183" s="1271" t="s">
        <v>3542</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3543</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3544</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3545</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3546</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3547</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3548</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3549</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6732</v>
      </c>
      <c r="L191" s="995" t="s">
        <v>399</v>
      </c>
      <c r="M191" s="2648" t="s">
        <v>1123</v>
      </c>
      <c r="N191" s="1111" t="s">
        <v>1132</v>
      </c>
      <c r="O191" s="1271" t="s">
        <v>3550</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3551</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6732</v>
      </c>
      <c r="L193" s="995" t="s">
        <v>399</v>
      </c>
      <c r="M193" s="2648" t="s">
        <v>1123</v>
      </c>
      <c r="N193" s="1111" t="s">
        <v>1132</v>
      </c>
      <c r="O193" s="1271" t="s">
        <v>3552</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3553</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6732</v>
      </c>
      <c r="L195" s="995" t="s">
        <v>399</v>
      </c>
      <c r="M195" s="2648" t="s">
        <v>1123</v>
      </c>
      <c r="N195" s="1111" t="s">
        <v>1132</v>
      </c>
      <c r="O195" s="1271" t="s">
        <v>3554</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3555</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3556</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3557</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3558</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3559</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3560</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6732</v>
      </c>
      <c r="L202" s="995" t="s">
        <v>399</v>
      </c>
      <c r="M202" s="2648" t="s">
        <v>1123</v>
      </c>
      <c r="N202" s="1111" t="s">
        <v>1132</v>
      </c>
      <c r="O202" s="1271" t="s">
        <v>3561</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3562</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3563</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3564</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3565</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6735</v>
      </c>
      <c r="L207" s="995" t="s">
        <v>399</v>
      </c>
      <c r="M207" s="2648" t="s">
        <v>2393</v>
      </c>
      <c r="N207" s="1111" t="s">
        <v>154</v>
      </c>
      <c r="O207" s="1271" t="s">
        <v>3566</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3567</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6732</v>
      </c>
      <c r="L209" s="995" t="s">
        <v>399</v>
      </c>
      <c r="M209" s="2648" t="s">
        <v>1123</v>
      </c>
      <c r="N209" s="1111" t="s">
        <v>1132</v>
      </c>
      <c r="O209" s="1271" t="s">
        <v>3568</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6732</v>
      </c>
      <c r="L210" s="995" t="s">
        <v>399</v>
      </c>
      <c r="M210" s="2648" t="s">
        <v>1123</v>
      </c>
      <c r="N210" s="1111" t="s">
        <v>1132</v>
      </c>
      <c r="O210" s="1271" t="s">
        <v>3569</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6736</v>
      </c>
      <c r="L211" s="995" t="s">
        <v>399</v>
      </c>
      <c r="M211" s="2649" t="s">
        <v>1123</v>
      </c>
      <c r="N211" s="1112" t="s">
        <v>1243</v>
      </c>
      <c r="O211" s="1271" t="s">
        <v>3570</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3571</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3572</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6732</v>
      </c>
      <c r="L214" s="995" t="s">
        <v>399</v>
      </c>
      <c r="M214" s="2648" t="s">
        <v>1123</v>
      </c>
      <c r="N214" s="1111" t="s">
        <v>1132</v>
      </c>
      <c r="O214" s="1271" t="s">
        <v>3573</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3574</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3575</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3576</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3577</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6733</v>
      </c>
      <c r="L219" s="995" t="s">
        <v>399</v>
      </c>
      <c r="M219" s="2648" t="s">
        <v>2393</v>
      </c>
      <c r="N219" s="1111" t="s">
        <v>1243</v>
      </c>
      <c r="O219" s="1271" t="s">
        <v>3578</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3579</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3580</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3581</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3582</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6737</v>
      </c>
      <c r="L224" s="995" t="s">
        <v>399</v>
      </c>
      <c r="M224" s="2649" t="s">
        <v>1123</v>
      </c>
      <c r="N224" s="1112" t="s">
        <v>1249</v>
      </c>
      <c r="O224" s="1271" t="s">
        <v>3583</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3584</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3585</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3586</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3587</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3588</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3589</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6735</v>
      </c>
      <c r="L231" s="995" t="s">
        <v>399</v>
      </c>
      <c r="M231" s="2648" t="s">
        <v>2393</v>
      </c>
      <c r="N231" s="1111" t="s">
        <v>154</v>
      </c>
      <c r="O231" s="1271" t="s">
        <v>3590</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6734</v>
      </c>
      <c r="L232" s="995" t="s">
        <v>399</v>
      </c>
      <c r="M232" s="2648" t="s">
        <v>2393</v>
      </c>
      <c r="N232" s="1111" t="s">
        <v>1253</v>
      </c>
      <c r="O232" s="1271" t="s">
        <v>3591</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3592</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3593</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3594</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3595</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3596</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3597</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3598</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3599</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6735</v>
      </c>
      <c r="L241" s="995" t="s">
        <v>399</v>
      </c>
      <c r="M241" s="2649" t="s">
        <v>1123</v>
      </c>
      <c r="N241" s="1112" t="s">
        <v>154</v>
      </c>
      <c r="O241" s="1271" t="s">
        <v>3600</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6732</v>
      </c>
      <c r="L242" s="995" t="s">
        <v>399</v>
      </c>
      <c r="M242" s="2648" t="s">
        <v>1123</v>
      </c>
      <c r="N242" s="1111" t="s">
        <v>1132</v>
      </c>
      <c r="O242" s="1271" t="s">
        <v>3601</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3602</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3603</v>
      </c>
      <c r="P244" s="568" t="s">
        <v>2150</v>
      </c>
      <c r="Q244" s="313"/>
      <c r="R244" s="183"/>
      <c r="S244" s="414"/>
      <c r="T244" s="515" t="s">
        <v>3783</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6732</v>
      </c>
      <c r="L245" s="995" t="s">
        <v>399</v>
      </c>
      <c r="M245" s="2648" t="s">
        <v>1123</v>
      </c>
      <c r="N245" s="1111" t="s">
        <v>1132</v>
      </c>
      <c r="O245" s="1271" t="s">
        <v>3604</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6738</v>
      </c>
      <c r="L246" s="995" t="s">
        <v>399</v>
      </c>
      <c r="M246" s="2649" t="s">
        <v>2393</v>
      </c>
      <c r="N246" s="1112" t="s">
        <v>1243</v>
      </c>
      <c r="O246" s="1271" t="s">
        <v>3605</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6732</v>
      </c>
      <c r="L247" s="995" t="s">
        <v>399</v>
      </c>
      <c r="M247" s="2648" t="s">
        <v>1123</v>
      </c>
      <c r="N247" s="1111" t="s">
        <v>1132</v>
      </c>
      <c r="O247" s="1271" t="s">
        <v>3606</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3607</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6732</v>
      </c>
      <c r="L249" s="995" t="s">
        <v>399</v>
      </c>
      <c r="M249" s="2648" t="s">
        <v>1123</v>
      </c>
      <c r="N249" s="1111" t="s">
        <v>1132</v>
      </c>
      <c r="O249" s="1271" t="s">
        <v>3608</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3609</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3610</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3611</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3612</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3613</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3614</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6734</v>
      </c>
      <c r="L256" s="995" t="s">
        <v>399</v>
      </c>
      <c r="M256" s="2649" t="s">
        <v>1123</v>
      </c>
      <c r="N256" s="1112" t="s">
        <v>1253</v>
      </c>
      <c r="O256" s="1271" t="s">
        <v>3615</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6732</v>
      </c>
      <c r="L257" s="995" t="s">
        <v>399</v>
      </c>
      <c r="M257" s="2648" t="s">
        <v>1123</v>
      </c>
      <c r="N257" s="1111" t="s">
        <v>1132</v>
      </c>
      <c r="O257" s="1271" t="s">
        <v>3616</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3617</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3618</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3619</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3620</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6732</v>
      </c>
      <c r="L262" s="995" t="s">
        <v>399</v>
      </c>
      <c r="M262" s="2648" t="s">
        <v>1123</v>
      </c>
      <c r="N262" s="1112" t="s">
        <v>1132</v>
      </c>
      <c r="O262" s="1271" t="s">
        <v>3621</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3622</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6739</v>
      </c>
      <c r="L264" s="995" t="s">
        <v>398</v>
      </c>
      <c r="M264" s="2649" t="s">
        <v>2393</v>
      </c>
      <c r="N264" s="1112" t="s">
        <v>154</v>
      </c>
      <c r="O264" s="1271" t="s">
        <v>3623</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3624</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6740</v>
      </c>
      <c r="L266" s="995" t="s">
        <v>398</v>
      </c>
      <c r="M266" s="2649" t="s">
        <v>2393</v>
      </c>
      <c r="N266" s="1112" t="s">
        <v>154</v>
      </c>
      <c r="O266" s="1271" t="s">
        <v>3625</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3626</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3627</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3628</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3629</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3630</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3631</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3632</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3633</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3634</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3635</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3636</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3637</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6733</v>
      </c>
      <c r="L279" s="995" t="s">
        <v>399</v>
      </c>
      <c r="M279" s="2648" t="s">
        <v>2393</v>
      </c>
      <c r="N279" s="1112" t="s">
        <v>1243</v>
      </c>
      <c r="O279" s="1271" t="s">
        <v>3638</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3639</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3640</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3641</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6732</v>
      </c>
      <c r="L283" s="995" t="s">
        <v>399</v>
      </c>
      <c r="M283" s="2648" t="s">
        <v>1123</v>
      </c>
      <c r="N283" s="1111" t="s">
        <v>1132</v>
      </c>
      <c r="O283" s="1271" t="s">
        <v>3642</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3643</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3644</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3645</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3646</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3647</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3648</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3649</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3650</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3651</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3652</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3653</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3654</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0">
        <v>2019</v>
      </c>
      <c r="D297" s="4851"/>
      <c r="E297" s="4851"/>
      <c r="F297" s="4851"/>
      <c r="G297" s="4850">
        <v>2020</v>
      </c>
      <c r="H297" s="4850"/>
      <c r="I297" s="4850"/>
      <c r="J297" s="4850"/>
      <c r="K297"/>
      <c r="L297" s="4852" t="s">
        <v>4061</v>
      </c>
      <c r="M297" s="4853"/>
      <c r="N297" s="4853"/>
      <c r="O297" s="4854"/>
      <c r="P297" s="568" t="s">
        <v>740</v>
      </c>
      <c r="Q297" s="313"/>
      <c r="R297" s="183"/>
      <c r="S297" s="414"/>
      <c r="T297" s="569" t="s">
        <v>643</v>
      </c>
      <c r="U297" s="569" t="s">
        <v>2021</v>
      </c>
      <c r="W297" s="457" t="s">
        <v>1362</v>
      </c>
      <c r="X297" s="457" t="s">
        <v>3020</v>
      </c>
      <c r="AA297" s="27"/>
      <c r="AB297" s="27"/>
      <c r="AC297" s="911"/>
      <c r="AD297" s="523"/>
    </row>
    <row r="298" spans="3:30" ht="10.5" customHeight="1">
      <c r="C298" s="4848" t="s">
        <v>3965</v>
      </c>
      <c r="D298" s="4847" t="s">
        <v>3966</v>
      </c>
      <c r="E298" s="4847" t="s">
        <v>3967</v>
      </c>
      <c r="F298" s="4847" t="s">
        <v>3968</v>
      </c>
      <c r="G298" s="4848" t="s">
        <v>3965</v>
      </c>
      <c r="H298" s="4847" t="s">
        <v>3966</v>
      </c>
      <c r="I298" s="4847" t="s">
        <v>3967</v>
      </c>
      <c r="J298" s="4847" t="s">
        <v>3968</v>
      </c>
      <c r="K298"/>
      <c r="L298" s="4848" t="s">
        <v>3965</v>
      </c>
      <c r="M298" s="4847" t="s">
        <v>3966</v>
      </c>
      <c r="N298" s="4847" t="s">
        <v>3967</v>
      </c>
      <c r="O298" s="4847" t="s">
        <v>3968</v>
      </c>
      <c r="P298" s="568" t="s">
        <v>2228</v>
      </c>
      <c r="Q298" s="313"/>
      <c r="R298" s="183"/>
      <c r="S298" s="414"/>
      <c r="T298" s="515" t="s">
        <v>148</v>
      </c>
      <c r="U298" s="515" t="s">
        <v>1738</v>
      </c>
      <c r="W298" s="457" t="s">
        <v>1480</v>
      </c>
      <c r="X298" s="457" t="s">
        <v>3020</v>
      </c>
      <c r="AA298" s="27"/>
      <c r="AB298" s="27"/>
      <c r="AC298" s="912"/>
      <c r="AD298" s="523"/>
    </row>
    <row r="299" spans="3:30" ht="10.5" customHeight="1">
      <c r="C299" s="4848"/>
      <c r="D299" s="4847"/>
      <c r="E299" s="4847"/>
      <c r="F299" s="4847"/>
      <c r="G299" s="4848"/>
      <c r="H299" s="4847"/>
      <c r="I299" s="4847"/>
      <c r="J299" s="4847"/>
      <c r="K299"/>
      <c r="L299" s="4848"/>
      <c r="M299" s="4847"/>
      <c r="N299" s="4847"/>
      <c r="O299" s="4847"/>
      <c r="P299" s="568" t="s">
        <v>2229</v>
      </c>
      <c r="Q299" s="313"/>
      <c r="R299" s="183"/>
      <c r="S299" s="414"/>
      <c r="T299" s="515" t="s">
        <v>189</v>
      </c>
      <c r="U299" s="515" t="s">
        <v>585</v>
      </c>
      <c r="W299" s="457" t="s">
        <v>1968</v>
      </c>
      <c r="X299" s="457" t="s">
        <v>3020</v>
      </c>
      <c r="AA299" s="27"/>
      <c r="AB299" s="27"/>
      <c r="AC299" s="911"/>
      <c r="AD299" s="523"/>
    </row>
    <row r="300" spans="3:30" ht="10.5" customHeight="1">
      <c r="C300" s="4848"/>
      <c r="D300" s="4847"/>
      <c r="E300" s="4847"/>
      <c r="F300" s="4847"/>
      <c r="G300" s="4848"/>
      <c r="H300" s="4847"/>
      <c r="I300" s="4847"/>
      <c r="J300" s="4847"/>
      <c r="K300"/>
      <c r="L300" s="4848"/>
      <c r="M300" s="4847"/>
      <c r="N300" s="4847"/>
      <c r="O300" s="4847"/>
      <c r="P300" s="568" t="s">
        <v>2231</v>
      </c>
      <c r="Q300" s="313"/>
      <c r="R300" s="183"/>
      <c r="S300" s="414"/>
      <c r="T300" s="515" t="s">
        <v>2366</v>
      </c>
      <c r="U300" s="515" t="s">
        <v>1865</v>
      </c>
      <c r="W300" s="457" t="s">
        <v>1970</v>
      </c>
      <c r="X300" s="457" t="s">
        <v>3020</v>
      </c>
      <c r="AA300" s="27"/>
      <c r="AB300" s="27"/>
      <c r="AC300" s="911"/>
      <c r="AD300" s="523"/>
    </row>
    <row r="301" spans="3:30" ht="10.5" customHeight="1">
      <c r="C301" s="4848"/>
      <c r="D301" s="4847"/>
      <c r="E301" s="4847"/>
      <c r="F301" s="4847"/>
      <c r="G301" s="4848"/>
      <c r="H301" s="4847"/>
      <c r="I301" s="4847"/>
      <c r="J301" s="4847"/>
      <c r="K301"/>
      <c r="L301" s="4848"/>
      <c r="M301" s="4847"/>
      <c r="N301" s="4847"/>
      <c r="O301" s="4847"/>
      <c r="P301" s="568" t="s">
        <v>2233</v>
      </c>
      <c r="Q301" s="313"/>
      <c r="R301" s="183"/>
      <c r="S301" s="414"/>
      <c r="T301" s="515" t="s">
        <v>737</v>
      </c>
      <c r="U301" s="515" t="s">
        <v>100</v>
      </c>
      <c r="W301" s="457" t="s">
        <v>1353</v>
      </c>
      <c r="X301" s="457" t="s">
        <v>3020</v>
      </c>
      <c r="AA301" s="27"/>
      <c r="AB301" s="27"/>
      <c r="AC301" s="911"/>
      <c r="AD301" s="523"/>
    </row>
    <row r="302" spans="3:30" ht="10.5" customHeight="1">
      <c r="C302" s="4848"/>
      <c r="D302" s="4847"/>
      <c r="E302" s="4847"/>
      <c r="F302" s="4847"/>
      <c r="G302" s="4848"/>
      <c r="H302" s="4847"/>
      <c r="I302" s="4847"/>
      <c r="J302" s="4847"/>
      <c r="K302"/>
      <c r="L302" s="4848"/>
      <c r="M302" s="4847"/>
      <c r="N302" s="4847"/>
      <c r="O302" s="4847"/>
      <c r="P302" s="568" t="s">
        <v>2234</v>
      </c>
      <c r="Q302" s="313"/>
      <c r="R302" s="183"/>
      <c r="S302" s="414"/>
      <c r="T302" s="515" t="s">
        <v>739</v>
      </c>
      <c r="U302" s="515" t="s">
        <v>116</v>
      </c>
      <c r="W302" s="457" t="s">
        <v>1454</v>
      </c>
      <c r="X302" s="457" t="s">
        <v>3020</v>
      </c>
      <c r="AA302" s="27"/>
      <c r="AB302" s="27"/>
      <c r="AC302" s="911"/>
      <c r="AD302" s="523"/>
    </row>
    <row r="303" spans="3:30" ht="10.5" customHeight="1">
      <c r="C303" s="4848"/>
      <c r="D303" s="4847"/>
      <c r="E303" s="4847"/>
      <c r="F303" s="4847"/>
      <c r="G303" s="4848"/>
      <c r="H303" s="4847"/>
      <c r="I303" s="4847"/>
      <c r="J303" s="4847"/>
      <c r="K303"/>
      <c r="L303" s="4848"/>
      <c r="M303" s="4847"/>
      <c r="N303" s="4847"/>
      <c r="O303" s="484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4048</v>
      </c>
      <c r="H304" s="1870">
        <v>0</v>
      </c>
      <c r="I304" s="1870">
        <v>0</v>
      </c>
      <c r="J304" s="1871">
        <v>0</v>
      </c>
      <c r="K304" s="1860"/>
      <c r="L304" s="1852" t="s">
        <v>4048</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4095</v>
      </c>
      <c r="D305" s="1858">
        <v>0</v>
      </c>
      <c r="E305" s="1858">
        <v>0</v>
      </c>
      <c r="F305" s="1859">
        <v>0</v>
      </c>
      <c r="G305" s="1872" t="s">
        <v>4095</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4096</v>
      </c>
      <c r="D306" s="1858">
        <v>0</v>
      </c>
      <c r="E306" s="1858">
        <v>0</v>
      </c>
      <c r="F306" s="1859">
        <v>0</v>
      </c>
      <c r="G306" s="1872" t="s">
        <v>4096</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4097</v>
      </c>
      <c r="D307" s="1858">
        <v>0</v>
      </c>
      <c r="E307" s="1858">
        <v>0</v>
      </c>
      <c r="F307" s="1859">
        <v>0</v>
      </c>
      <c r="G307" s="1872" t="s">
        <v>4097</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4098</v>
      </c>
      <c r="D308" s="1858">
        <v>0</v>
      </c>
      <c r="E308" s="1858">
        <v>0</v>
      </c>
      <c r="F308" s="1859">
        <v>0</v>
      </c>
      <c r="G308" s="1872" t="s">
        <v>4098</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4099</v>
      </c>
      <c r="D309" s="1858">
        <v>0</v>
      </c>
      <c r="E309" s="1858">
        <v>0</v>
      </c>
      <c r="F309" s="1859">
        <v>0</v>
      </c>
      <c r="G309" s="1872" t="s">
        <v>4099</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4100</v>
      </c>
      <c r="D310" s="1858">
        <v>0</v>
      </c>
      <c r="E310" s="1858">
        <v>0</v>
      </c>
      <c r="F310" s="1859">
        <v>0</v>
      </c>
      <c r="G310" s="1872" t="s">
        <v>4100</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4101</v>
      </c>
      <c r="D311" s="1858">
        <v>0</v>
      </c>
      <c r="E311" s="1858">
        <v>0</v>
      </c>
      <c r="F311" s="1859">
        <v>0</v>
      </c>
      <c r="G311" s="1872" t="s">
        <v>4101</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4102</v>
      </c>
      <c r="D312" s="1858">
        <v>1</v>
      </c>
      <c r="E312" s="1858">
        <v>0</v>
      </c>
      <c r="F312" s="1859">
        <v>1</v>
      </c>
      <c r="G312" s="1872" t="s">
        <v>4102</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4103</v>
      </c>
      <c r="D313" s="1858">
        <v>0</v>
      </c>
      <c r="E313" s="1858">
        <v>0</v>
      </c>
      <c r="F313" s="1859">
        <v>0</v>
      </c>
      <c r="G313" s="1872" t="s">
        <v>4103</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4104</v>
      </c>
      <c r="D314" s="1858">
        <v>0</v>
      </c>
      <c r="E314" s="1858">
        <v>0</v>
      </c>
      <c r="F314" s="1859">
        <v>0</v>
      </c>
      <c r="G314" s="1872" t="s">
        <v>4104</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4105</v>
      </c>
      <c r="D315" s="1858">
        <v>0</v>
      </c>
      <c r="E315" s="1858">
        <v>0</v>
      </c>
      <c r="F315" s="1859">
        <v>0</v>
      </c>
      <c r="G315" s="1872" t="s">
        <v>4105</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4106</v>
      </c>
      <c r="D316" s="1858">
        <v>1</v>
      </c>
      <c r="E316" s="1858">
        <v>0</v>
      </c>
      <c r="F316" s="1859">
        <v>1</v>
      </c>
      <c r="G316" s="1872" t="s">
        <v>4106</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4107</v>
      </c>
      <c r="D317" s="1858">
        <v>0</v>
      </c>
      <c r="E317" s="1858">
        <v>0</v>
      </c>
      <c r="F317" s="1859">
        <v>0</v>
      </c>
      <c r="G317" s="1872" t="s">
        <v>4107</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4108</v>
      </c>
      <c r="D318" s="1858">
        <v>0</v>
      </c>
      <c r="E318" s="1858">
        <v>0</v>
      </c>
      <c r="F318" s="1859">
        <v>0</v>
      </c>
      <c r="G318" s="1872" t="s">
        <v>4108</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4109</v>
      </c>
      <c r="D319" s="1858">
        <v>1</v>
      </c>
      <c r="E319" s="1858">
        <v>1</v>
      </c>
      <c r="F319" s="1859">
        <v>2</v>
      </c>
      <c r="G319" s="1872" t="s">
        <v>4109</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4110</v>
      </c>
      <c r="D320" s="1858">
        <v>0</v>
      </c>
      <c r="E320" s="1858">
        <v>0</v>
      </c>
      <c r="F320" s="1859">
        <v>0</v>
      </c>
      <c r="G320" s="1872" t="s">
        <v>4110</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4111</v>
      </c>
      <c r="D321" s="1858">
        <v>0</v>
      </c>
      <c r="E321" s="1858">
        <v>0</v>
      </c>
      <c r="F321" s="1859">
        <v>0</v>
      </c>
      <c r="G321" s="1872" t="s">
        <v>4111</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4112</v>
      </c>
      <c r="D322" s="1858">
        <v>0</v>
      </c>
      <c r="E322" s="1858">
        <v>0</v>
      </c>
      <c r="F322" s="1859">
        <v>0</v>
      </c>
      <c r="G322" s="1872" t="s">
        <v>4112</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4113</v>
      </c>
      <c r="D323" s="1858">
        <v>0</v>
      </c>
      <c r="E323" s="1858">
        <v>0</v>
      </c>
      <c r="F323" s="1859">
        <v>0</v>
      </c>
      <c r="G323" s="1872" t="s">
        <v>4113</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4114</v>
      </c>
      <c r="D324" s="1858">
        <v>0</v>
      </c>
      <c r="E324" s="1858">
        <v>0</v>
      </c>
      <c r="F324" s="1859">
        <v>0</v>
      </c>
      <c r="G324" s="1872" t="s">
        <v>4114</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4115</v>
      </c>
      <c r="D325" s="1858">
        <v>0</v>
      </c>
      <c r="E325" s="1858">
        <v>0</v>
      </c>
      <c r="F325" s="1859">
        <v>0</v>
      </c>
      <c r="G325" s="1872" t="s">
        <v>4115</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4116</v>
      </c>
      <c r="D326" s="1858">
        <v>0</v>
      </c>
      <c r="E326" s="1858">
        <v>0</v>
      </c>
      <c r="F326" s="1859">
        <v>0</v>
      </c>
      <c r="G326" s="1872" t="s">
        <v>4116</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4117</v>
      </c>
      <c r="D327" s="1858">
        <v>0</v>
      </c>
      <c r="E327" s="1858">
        <v>0</v>
      </c>
      <c r="F327" s="1859">
        <v>0</v>
      </c>
      <c r="G327" s="1872" t="s">
        <v>4117</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4118</v>
      </c>
      <c r="D328" s="1858">
        <v>1</v>
      </c>
      <c r="E328" s="1858">
        <v>1</v>
      </c>
      <c r="F328" s="1859">
        <v>2</v>
      </c>
      <c r="G328" s="1872" t="s">
        <v>4118</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4119</v>
      </c>
      <c r="D329" s="1858">
        <v>0</v>
      </c>
      <c r="E329" s="1858">
        <v>0</v>
      </c>
      <c r="F329" s="1859">
        <v>0</v>
      </c>
      <c r="G329" s="1872" t="s">
        <v>4119</v>
      </c>
      <c r="H329" s="1856">
        <v>0</v>
      </c>
      <c r="I329" s="1856">
        <v>0</v>
      </c>
      <c r="J329" s="1873">
        <v>0</v>
      </c>
      <c r="K329" s="1860"/>
      <c r="L329" s="1854">
        <v>13011970400</v>
      </c>
      <c r="M329" s="1855">
        <v>0</v>
      </c>
      <c r="N329" s="1855">
        <v>0</v>
      </c>
      <c r="O329" s="1855">
        <v>0</v>
      </c>
      <c r="P329" s="568" t="s">
        <v>1796</v>
      </c>
      <c r="Q329" s="313"/>
      <c r="R329" s="183"/>
      <c r="S329" s="414"/>
      <c r="T329" s="569" t="s">
        <v>3784</v>
      </c>
      <c r="U329" s="569" t="s">
        <v>618</v>
      </c>
      <c r="W329" s="457" t="s">
        <v>2316</v>
      </c>
      <c r="X329" s="457" t="s">
        <v>3020</v>
      </c>
      <c r="AA329" s="27"/>
      <c r="AB329" s="27"/>
      <c r="AC329" s="912"/>
      <c r="AD329" s="523"/>
    </row>
    <row r="330" spans="3:30" ht="10.5" customHeight="1">
      <c r="C330" s="1861" t="s">
        <v>4120</v>
      </c>
      <c r="D330" s="1858">
        <v>1</v>
      </c>
      <c r="E330" s="1858">
        <v>1</v>
      </c>
      <c r="F330" s="1859">
        <v>2</v>
      </c>
      <c r="G330" s="1872" t="s">
        <v>4120</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4121</v>
      </c>
      <c r="D331" s="1858">
        <v>0</v>
      </c>
      <c r="E331" s="1858">
        <v>1</v>
      </c>
      <c r="F331" s="1859">
        <v>1</v>
      </c>
      <c r="G331" s="1872" t="s">
        <v>4121</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4122</v>
      </c>
      <c r="D332" s="1858">
        <v>0</v>
      </c>
      <c r="E332" s="1858">
        <v>1</v>
      </c>
      <c r="F332" s="1859">
        <v>1</v>
      </c>
      <c r="G332" s="1872" t="s">
        <v>4122</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4123</v>
      </c>
      <c r="D333" s="1858">
        <v>0</v>
      </c>
      <c r="E333" s="1858">
        <v>1</v>
      </c>
      <c r="F333" s="1859">
        <v>1</v>
      </c>
      <c r="G333" s="1872" t="s">
        <v>4123</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4124</v>
      </c>
      <c r="D334" s="1858">
        <v>0</v>
      </c>
      <c r="E334" s="1858">
        <v>0</v>
      </c>
      <c r="F334" s="1859">
        <v>0</v>
      </c>
      <c r="G334" s="1872" t="s">
        <v>4124</v>
      </c>
      <c r="H334" s="1856">
        <v>0</v>
      </c>
      <c r="I334" s="1856">
        <v>0</v>
      </c>
      <c r="J334" s="1873">
        <v>0</v>
      </c>
      <c r="K334" s="1860"/>
      <c r="L334" s="1854">
        <v>13013180107</v>
      </c>
      <c r="M334" s="1855">
        <v>0</v>
      </c>
      <c r="N334" s="1855">
        <v>0</v>
      </c>
      <c r="O334" s="1855">
        <v>0</v>
      </c>
      <c r="P334" s="568" t="s">
        <v>1557</v>
      </c>
      <c r="Q334" s="313"/>
      <c r="R334" s="183"/>
      <c r="S334" s="414"/>
      <c r="T334" s="569" t="s">
        <v>6092</v>
      </c>
      <c r="U334" s="569" t="s">
        <v>2288</v>
      </c>
      <c r="W334" s="457" t="s">
        <v>1766</v>
      </c>
      <c r="X334" s="457" t="s">
        <v>3020</v>
      </c>
      <c r="AA334" s="27"/>
      <c r="AB334" s="27"/>
      <c r="AC334" s="912"/>
      <c r="AD334" s="523"/>
    </row>
    <row r="335" spans="3:30" ht="10.5" customHeight="1">
      <c r="C335" s="1861" t="s">
        <v>4125</v>
      </c>
      <c r="D335" s="1858">
        <v>0</v>
      </c>
      <c r="E335" s="1858">
        <v>1</v>
      </c>
      <c r="F335" s="1859">
        <v>1</v>
      </c>
      <c r="G335" s="1872" t="s">
        <v>4125</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4126</v>
      </c>
      <c r="D336" s="1858">
        <v>0</v>
      </c>
      <c r="E336" s="1858">
        <v>0</v>
      </c>
      <c r="F336" s="1859">
        <v>0</v>
      </c>
      <c r="G336" s="1872" t="s">
        <v>4126</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4127</v>
      </c>
      <c r="D337" s="1858">
        <v>0</v>
      </c>
      <c r="E337" s="1858">
        <v>0</v>
      </c>
      <c r="F337" s="1859">
        <v>0</v>
      </c>
      <c r="G337" s="1872" t="s">
        <v>4127</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4128</v>
      </c>
      <c r="D338" s="1858">
        <v>0</v>
      </c>
      <c r="E338" s="1858">
        <v>0</v>
      </c>
      <c r="F338" s="1859">
        <v>0</v>
      </c>
      <c r="G338" s="1872" t="s">
        <v>4128</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4129</v>
      </c>
      <c r="D339" s="1858">
        <v>1</v>
      </c>
      <c r="E339" s="1858">
        <v>1</v>
      </c>
      <c r="F339" s="1859">
        <v>2</v>
      </c>
      <c r="G339" s="1872" t="s">
        <v>4129</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4130</v>
      </c>
      <c r="D340" s="1858">
        <v>1</v>
      </c>
      <c r="E340" s="1858">
        <v>1</v>
      </c>
      <c r="F340" s="1859">
        <v>2</v>
      </c>
      <c r="G340" s="1872" t="s">
        <v>4130</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4131</v>
      </c>
      <c r="D341" s="1858">
        <v>1</v>
      </c>
      <c r="E341" s="1858">
        <v>1</v>
      </c>
      <c r="F341" s="1859">
        <v>2</v>
      </c>
      <c r="G341" s="1872" t="s">
        <v>4131</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4132</v>
      </c>
      <c r="D342" s="1858">
        <v>1</v>
      </c>
      <c r="E342" s="1858">
        <v>1</v>
      </c>
      <c r="F342" s="1859">
        <v>2</v>
      </c>
      <c r="G342" s="1872" t="s">
        <v>4132</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4133</v>
      </c>
      <c r="D343" s="1858">
        <v>1</v>
      </c>
      <c r="E343" s="1858">
        <v>1</v>
      </c>
      <c r="F343" s="1859">
        <v>2</v>
      </c>
      <c r="G343" s="1872" t="s">
        <v>4133</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4134</v>
      </c>
      <c r="D344" s="1858">
        <v>0</v>
      </c>
      <c r="E344" s="1858">
        <v>0</v>
      </c>
      <c r="F344" s="1859">
        <v>0</v>
      </c>
      <c r="G344" s="1872" t="s">
        <v>4134</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4135</v>
      </c>
      <c r="D345" s="1858">
        <v>1</v>
      </c>
      <c r="E345" s="1858">
        <v>1</v>
      </c>
      <c r="F345" s="1859">
        <v>2</v>
      </c>
      <c r="G345" s="1872" t="s">
        <v>4135</v>
      </c>
      <c r="H345" s="1856">
        <v>1</v>
      </c>
      <c r="I345" s="1856" t="s">
        <v>3909</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4136</v>
      </c>
      <c r="D346" s="1858">
        <v>1</v>
      </c>
      <c r="E346" s="1858">
        <v>1</v>
      </c>
      <c r="F346" s="1859">
        <v>2</v>
      </c>
      <c r="G346" s="1872" t="s">
        <v>4136</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4137</v>
      </c>
      <c r="D347" s="1858">
        <v>1</v>
      </c>
      <c r="E347" s="1858">
        <v>1</v>
      </c>
      <c r="F347" s="1859">
        <v>2</v>
      </c>
      <c r="G347" s="1872" t="s">
        <v>4137</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4138</v>
      </c>
      <c r="D348" s="1858">
        <v>1</v>
      </c>
      <c r="E348" s="1858">
        <v>1</v>
      </c>
      <c r="F348" s="1859">
        <v>2</v>
      </c>
      <c r="G348" s="1872" t="s">
        <v>4138</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4139</v>
      </c>
      <c r="D349" s="1858">
        <v>1</v>
      </c>
      <c r="E349" s="1858">
        <v>1</v>
      </c>
      <c r="F349" s="1859">
        <v>2</v>
      </c>
      <c r="G349" s="1872" t="s">
        <v>4139</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4140</v>
      </c>
      <c r="D350" s="1858">
        <v>0</v>
      </c>
      <c r="E350" s="1858">
        <v>1</v>
      </c>
      <c r="F350" s="1859">
        <v>1</v>
      </c>
      <c r="G350" s="1872" t="s">
        <v>4140</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4141</v>
      </c>
      <c r="D351" s="1858">
        <v>1</v>
      </c>
      <c r="E351" s="1858">
        <v>1</v>
      </c>
      <c r="F351" s="1859">
        <v>2</v>
      </c>
      <c r="G351" s="1872" t="s">
        <v>4141</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4142</v>
      </c>
      <c r="D352" s="1858">
        <v>1</v>
      </c>
      <c r="E352" s="1858">
        <v>1</v>
      </c>
      <c r="F352" s="1859">
        <v>2</v>
      </c>
      <c r="G352" s="1872" t="s">
        <v>4142</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4143</v>
      </c>
      <c r="D353" s="1858">
        <v>0</v>
      </c>
      <c r="E353" s="1858">
        <v>1</v>
      </c>
      <c r="F353" s="1859">
        <v>1</v>
      </c>
      <c r="G353" s="1872" t="s">
        <v>4143</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4144</v>
      </c>
      <c r="D354" s="1858">
        <v>0</v>
      </c>
      <c r="E354" s="1858">
        <v>0</v>
      </c>
      <c r="F354" s="1859">
        <v>0</v>
      </c>
      <c r="G354" s="1872" t="s">
        <v>4144</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4145</v>
      </c>
      <c r="D355" s="1858">
        <v>0</v>
      </c>
      <c r="E355" s="1858">
        <v>0</v>
      </c>
      <c r="F355" s="1859">
        <v>0</v>
      </c>
      <c r="G355" s="1872" t="s">
        <v>4145</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4146</v>
      </c>
      <c r="D356" s="1858">
        <v>0</v>
      </c>
      <c r="E356" s="1858">
        <v>0</v>
      </c>
      <c r="F356" s="1859">
        <v>0</v>
      </c>
      <c r="G356" s="1872" t="s">
        <v>4146</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4147</v>
      </c>
      <c r="D357" s="1858">
        <v>0</v>
      </c>
      <c r="E357" s="1858">
        <v>0</v>
      </c>
      <c r="F357" s="1859">
        <v>0</v>
      </c>
      <c r="G357" s="1872" t="s">
        <v>4147</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4148</v>
      </c>
      <c r="D358" s="1858">
        <v>0</v>
      </c>
      <c r="E358" s="1858">
        <v>0</v>
      </c>
      <c r="F358" s="1859">
        <v>0</v>
      </c>
      <c r="G358" s="1872" t="s">
        <v>4148</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4149</v>
      </c>
      <c r="D359" s="1858">
        <v>0</v>
      </c>
      <c r="E359" s="1858">
        <v>0</v>
      </c>
      <c r="F359" s="1859">
        <v>0</v>
      </c>
      <c r="G359" s="1872" t="s">
        <v>4149</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4150</v>
      </c>
      <c r="D360" s="1858">
        <v>0</v>
      </c>
      <c r="E360" s="1858">
        <v>1</v>
      </c>
      <c r="F360" s="1859">
        <v>1</v>
      </c>
      <c r="G360" s="1872" t="s">
        <v>4150</v>
      </c>
      <c r="H360" s="1856">
        <v>1</v>
      </c>
      <c r="I360" s="1856" t="s">
        <v>3909</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4151</v>
      </c>
      <c r="D361" s="1858">
        <v>1</v>
      </c>
      <c r="E361" s="1858">
        <v>1</v>
      </c>
      <c r="F361" s="1859">
        <v>2</v>
      </c>
      <c r="G361" s="1872" t="s">
        <v>4151</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4152</v>
      </c>
      <c r="D362" s="1858">
        <v>1</v>
      </c>
      <c r="E362" s="1858">
        <v>1</v>
      </c>
      <c r="F362" s="1859">
        <v>2</v>
      </c>
      <c r="G362" s="1872" t="s">
        <v>4152</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4153</v>
      </c>
      <c r="D363" s="1858">
        <v>0</v>
      </c>
      <c r="E363" s="1858">
        <v>0</v>
      </c>
      <c r="F363" s="1859">
        <v>0</v>
      </c>
      <c r="G363" s="1872" t="s">
        <v>4153</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4154</v>
      </c>
      <c r="D364" s="1858">
        <v>0</v>
      </c>
      <c r="E364" s="1858">
        <v>0</v>
      </c>
      <c r="F364" s="1859">
        <v>0</v>
      </c>
      <c r="G364" s="1872" t="s">
        <v>4154</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4155</v>
      </c>
      <c r="D365" s="1858">
        <v>0</v>
      </c>
      <c r="E365" s="1858">
        <v>0</v>
      </c>
      <c r="F365" s="1859">
        <v>0</v>
      </c>
      <c r="G365" s="1872" t="s">
        <v>4155</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4156</v>
      </c>
      <c r="D366" s="1858">
        <v>0</v>
      </c>
      <c r="E366" s="1858">
        <v>0</v>
      </c>
      <c r="F366" s="1859">
        <v>0</v>
      </c>
      <c r="G366" s="1872" t="s">
        <v>4156</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4157</v>
      </c>
      <c r="D367" s="1858">
        <v>0</v>
      </c>
      <c r="E367" s="1858">
        <v>0</v>
      </c>
      <c r="F367" s="1859">
        <v>0</v>
      </c>
      <c r="G367" s="1872" t="s">
        <v>4157</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4158</v>
      </c>
      <c r="D368" s="1858">
        <v>0</v>
      </c>
      <c r="E368" s="1858">
        <v>0</v>
      </c>
      <c r="F368" s="1859">
        <v>0</v>
      </c>
      <c r="G368" s="1872" t="s">
        <v>4158</v>
      </c>
      <c r="H368" s="1856">
        <v>0</v>
      </c>
      <c r="I368" s="1856" t="s">
        <v>3909</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4159</v>
      </c>
      <c r="D369" s="1858">
        <v>0</v>
      </c>
      <c r="E369" s="1858">
        <v>0</v>
      </c>
      <c r="F369" s="1859">
        <v>0</v>
      </c>
      <c r="G369" s="1872" t="s">
        <v>4159</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4160</v>
      </c>
      <c r="D370" s="1858">
        <v>0</v>
      </c>
      <c r="E370" s="1858">
        <v>0</v>
      </c>
      <c r="F370" s="1859">
        <v>0</v>
      </c>
      <c r="G370" s="1872" t="s">
        <v>4160</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4161</v>
      </c>
      <c r="D371" s="1858">
        <v>0</v>
      </c>
      <c r="E371" s="1858">
        <v>0</v>
      </c>
      <c r="F371" s="1859">
        <v>0</v>
      </c>
      <c r="G371" s="1872" t="s">
        <v>4161</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4162</v>
      </c>
      <c r="D372" s="1858">
        <v>0</v>
      </c>
      <c r="E372" s="1858">
        <v>0</v>
      </c>
      <c r="F372" s="1859">
        <v>0</v>
      </c>
      <c r="G372" s="1872" t="s">
        <v>4162</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4163</v>
      </c>
      <c r="D373" s="1858">
        <v>0</v>
      </c>
      <c r="E373" s="1858">
        <v>0</v>
      </c>
      <c r="F373" s="1859">
        <v>0</v>
      </c>
      <c r="G373" s="1872" t="s">
        <v>4163</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4164</v>
      </c>
      <c r="D374" s="1858">
        <v>0</v>
      </c>
      <c r="E374" s="1858">
        <v>0</v>
      </c>
      <c r="F374" s="1859">
        <v>0</v>
      </c>
      <c r="G374" s="1872" t="s">
        <v>4164</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4165</v>
      </c>
      <c r="D375" s="1858">
        <v>0</v>
      </c>
      <c r="E375" s="1858">
        <v>0</v>
      </c>
      <c r="F375" s="1859">
        <v>0</v>
      </c>
      <c r="G375" s="1872" t="s">
        <v>4165</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4166</v>
      </c>
      <c r="D376" s="1858">
        <v>0</v>
      </c>
      <c r="E376" s="1858">
        <v>0</v>
      </c>
      <c r="F376" s="1859">
        <v>0</v>
      </c>
      <c r="G376" s="1872" t="s">
        <v>4166</v>
      </c>
      <c r="H376" s="1856">
        <v>0</v>
      </c>
      <c r="I376" s="1856" t="s">
        <v>3909</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4167</v>
      </c>
      <c r="D377" s="1858">
        <v>0</v>
      </c>
      <c r="E377" s="1858">
        <v>0</v>
      </c>
      <c r="F377" s="1859">
        <v>0</v>
      </c>
      <c r="G377" s="1872" t="s">
        <v>4167</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4168</v>
      </c>
      <c r="D378" s="1858">
        <v>0</v>
      </c>
      <c r="E378" s="1858">
        <v>0</v>
      </c>
      <c r="F378" s="1859">
        <v>0</v>
      </c>
      <c r="G378" s="1872" t="s">
        <v>4168</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4169</v>
      </c>
      <c r="D379" s="1858">
        <v>1</v>
      </c>
      <c r="E379" s="1858">
        <v>1</v>
      </c>
      <c r="F379" s="1859">
        <v>2</v>
      </c>
      <c r="G379" s="1872" t="s">
        <v>4169</v>
      </c>
      <c r="H379" s="1856">
        <v>0</v>
      </c>
      <c r="I379" s="1856" t="s">
        <v>3909</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4170</v>
      </c>
      <c r="D380" s="1858">
        <v>0</v>
      </c>
      <c r="E380" s="1858">
        <v>0</v>
      </c>
      <c r="F380" s="1859">
        <v>0</v>
      </c>
      <c r="G380" s="1872" t="s">
        <v>4170</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4171</v>
      </c>
      <c r="D381" s="1858">
        <v>0</v>
      </c>
      <c r="E381" s="1858">
        <v>0</v>
      </c>
      <c r="F381" s="1859">
        <v>0</v>
      </c>
      <c r="G381" s="1872" t="s">
        <v>4171</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4172</v>
      </c>
      <c r="D382" s="1858">
        <v>0</v>
      </c>
      <c r="E382" s="1858">
        <v>0</v>
      </c>
      <c r="F382" s="1859">
        <v>0</v>
      </c>
      <c r="G382" s="1872" t="s">
        <v>4172</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4173</v>
      </c>
      <c r="D383" s="1858">
        <v>0</v>
      </c>
      <c r="E383" s="1858">
        <v>0</v>
      </c>
      <c r="F383" s="1859">
        <v>0</v>
      </c>
      <c r="G383" s="1872" t="s">
        <v>4173</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4174</v>
      </c>
      <c r="D384" s="1858">
        <v>0</v>
      </c>
      <c r="E384" s="1858">
        <v>0</v>
      </c>
      <c r="F384" s="1859">
        <v>0</v>
      </c>
      <c r="G384" s="1872" t="s">
        <v>4174</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4175</v>
      </c>
      <c r="D385" s="1858">
        <v>1</v>
      </c>
      <c r="E385" s="1858">
        <v>0</v>
      </c>
      <c r="F385" s="1859">
        <v>1</v>
      </c>
      <c r="G385" s="1872" t="s">
        <v>4175</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4176</v>
      </c>
      <c r="D386" s="1858">
        <v>0</v>
      </c>
      <c r="E386" s="1858">
        <v>0</v>
      </c>
      <c r="F386" s="1859">
        <v>0</v>
      </c>
      <c r="G386" s="1872" t="s">
        <v>4176</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4177</v>
      </c>
      <c r="D387" s="1858">
        <v>1</v>
      </c>
      <c r="E387" s="1858">
        <v>1</v>
      </c>
      <c r="F387" s="1859">
        <v>2</v>
      </c>
      <c r="G387" s="1872" t="s">
        <v>4177</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4178</v>
      </c>
      <c r="D388" s="1858">
        <v>1</v>
      </c>
      <c r="E388" s="1858">
        <v>1</v>
      </c>
      <c r="F388" s="1859">
        <v>2</v>
      </c>
      <c r="G388" s="1872" t="s">
        <v>4178</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4179</v>
      </c>
      <c r="D389" s="1858">
        <v>0</v>
      </c>
      <c r="E389" s="1858">
        <v>1</v>
      </c>
      <c r="F389" s="1859">
        <v>1</v>
      </c>
      <c r="G389" s="1872" t="s">
        <v>4179</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4180</v>
      </c>
      <c r="D390" s="1858">
        <v>0</v>
      </c>
      <c r="E390" s="1858">
        <v>0</v>
      </c>
      <c r="F390" s="1859">
        <v>0</v>
      </c>
      <c r="G390" s="1872" t="s">
        <v>4180</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4181</v>
      </c>
      <c r="D391" s="1858">
        <v>0</v>
      </c>
      <c r="E391" s="1858">
        <v>0</v>
      </c>
      <c r="F391" s="1859">
        <v>0</v>
      </c>
      <c r="G391" s="1872" t="s">
        <v>4181</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4182</v>
      </c>
      <c r="D392" s="1858">
        <v>0</v>
      </c>
      <c r="E392" s="1858">
        <v>0</v>
      </c>
      <c r="F392" s="1859">
        <v>0</v>
      </c>
      <c r="G392" s="1872" t="s">
        <v>4182</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4183</v>
      </c>
      <c r="D393" s="1858">
        <v>0</v>
      </c>
      <c r="E393" s="1858">
        <v>0</v>
      </c>
      <c r="F393" s="1859">
        <v>0</v>
      </c>
      <c r="G393" s="1872" t="s">
        <v>4183</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4184</v>
      </c>
      <c r="D394" s="1858">
        <v>0</v>
      </c>
      <c r="E394" s="1858">
        <v>0</v>
      </c>
      <c r="F394" s="1859">
        <v>0</v>
      </c>
      <c r="G394" s="1872" t="s">
        <v>4184</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4185</v>
      </c>
      <c r="D395" s="1858">
        <v>0</v>
      </c>
      <c r="E395" s="1858">
        <v>0</v>
      </c>
      <c r="F395" s="1859">
        <v>0</v>
      </c>
      <c r="G395" s="1872" t="s">
        <v>4185</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4186</v>
      </c>
      <c r="D396" s="1858">
        <v>0</v>
      </c>
      <c r="E396" s="1858">
        <v>0</v>
      </c>
      <c r="F396" s="1859">
        <v>0</v>
      </c>
      <c r="G396" s="1872" t="s">
        <v>4186</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4187</v>
      </c>
      <c r="D397" s="1858">
        <v>0</v>
      </c>
      <c r="E397" s="1858">
        <v>0</v>
      </c>
      <c r="F397" s="1859">
        <v>0</v>
      </c>
      <c r="G397" s="1872" t="s">
        <v>4187</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4188</v>
      </c>
      <c r="D398" s="1858">
        <v>0</v>
      </c>
      <c r="E398" s="1858">
        <v>0</v>
      </c>
      <c r="F398" s="1859">
        <v>0</v>
      </c>
      <c r="G398" s="1872" t="s">
        <v>4188</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4189</v>
      </c>
      <c r="D399" s="1858">
        <v>0</v>
      </c>
      <c r="E399" s="1858">
        <v>0</v>
      </c>
      <c r="F399" s="1859">
        <v>0</v>
      </c>
      <c r="G399" s="1872" t="s">
        <v>4189</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4190</v>
      </c>
      <c r="D400" s="1858">
        <v>0</v>
      </c>
      <c r="E400" s="1858">
        <v>0</v>
      </c>
      <c r="F400" s="1859">
        <v>0</v>
      </c>
      <c r="G400" s="1872" t="s">
        <v>4190</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4191</v>
      </c>
      <c r="D401" s="1858">
        <v>0</v>
      </c>
      <c r="E401" s="1858">
        <v>0</v>
      </c>
      <c r="F401" s="1859">
        <v>0</v>
      </c>
      <c r="G401" s="1872" t="s">
        <v>4191</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4192</v>
      </c>
      <c r="D402" s="1858">
        <v>0</v>
      </c>
      <c r="E402" s="1858">
        <v>0</v>
      </c>
      <c r="F402" s="1859">
        <v>0</v>
      </c>
      <c r="G402" s="1872" t="s">
        <v>4192</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4193</v>
      </c>
      <c r="D403" s="1858">
        <v>1</v>
      </c>
      <c r="E403" s="1858">
        <v>1</v>
      </c>
      <c r="F403" s="1859">
        <v>2</v>
      </c>
      <c r="G403" s="1872" t="s">
        <v>4193</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4194</v>
      </c>
      <c r="D404" s="1858">
        <v>1</v>
      </c>
      <c r="E404" s="1858">
        <v>1</v>
      </c>
      <c r="F404" s="1859">
        <v>2</v>
      </c>
      <c r="G404" s="1872" t="s">
        <v>4194</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4195</v>
      </c>
      <c r="D405" s="1858">
        <v>1</v>
      </c>
      <c r="E405" s="1858">
        <v>1</v>
      </c>
      <c r="F405" s="1859">
        <v>2</v>
      </c>
      <c r="G405" s="1872" t="s">
        <v>4195</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4196</v>
      </c>
      <c r="D406" s="1858">
        <v>1</v>
      </c>
      <c r="E406" s="1858">
        <v>1</v>
      </c>
      <c r="F406" s="1859">
        <v>2</v>
      </c>
      <c r="G406" s="1872" t="s">
        <v>4196</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4197</v>
      </c>
      <c r="D407" s="1858">
        <v>1</v>
      </c>
      <c r="E407" s="1858">
        <v>1</v>
      </c>
      <c r="F407" s="1859">
        <v>2</v>
      </c>
      <c r="G407" s="1872" t="s">
        <v>4197</v>
      </c>
      <c r="H407" s="1856">
        <v>1</v>
      </c>
      <c r="I407" s="1856" t="s">
        <v>3909</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4198</v>
      </c>
      <c r="D408" s="1858">
        <v>0</v>
      </c>
      <c r="E408" s="1858">
        <v>0</v>
      </c>
      <c r="F408" s="1859">
        <v>0</v>
      </c>
      <c r="G408" s="1872" t="s">
        <v>4198</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4199</v>
      </c>
      <c r="D409" s="1858">
        <v>0</v>
      </c>
      <c r="E409" s="1858">
        <v>0</v>
      </c>
      <c r="F409" s="1859">
        <v>0</v>
      </c>
      <c r="G409" s="1872" t="s">
        <v>4199</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4200</v>
      </c>
      <c r="D410" s="1858">
        <v>1</v>
      </c>
      <c r="E410" s="1858">
        <v>1</v>
      </c>
      <c r="F410" s="1859">
        <v>2</v>
      </c>
      <c r="G410" s="1872" t="s">
        <v>4200</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4201</v>
      </c>
      <c r="D411" s="1858">
        <v>0</v>
      </c>
      <c r="E411" s="1858">
        <v>1</v>
      </c>
      <c r="F411" s="1859">
        <v>1</v>
      </c>
      <c r="G411" s="1872" t="s">
        <v>4201</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4202</v>
      </c>
      <c r="D412" s="1858">
        <v>1</v>
      </c>
      <c r="E412" s="1858">
        <v>1</v>
      </c>
      <c r="F412" s="1859">
        <v>2</v>
      </c>
      <c r="G412" s="1872" t="s">
        <v>4202</v>
      </c>
      <c r="H412" s="1856">
        <v>0</v>
      </c>
      <c r="I412" s="1856" t="s">
        <v>3909</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4203</v>
      </c>
      <c r="D413" s="1858">
        <v>1</v>
      </c>
      <c r="E413" s="1858">
        <v>1</v>
      </c>
      <c r="F413" s="1859">
        <v>2</v>
      </c>
      <c r="G413" s="1872" t="s">
        <v>4203</v>
      </c>
      <c r="H413" s="1856">
        <v>1</v>
      </c>
      <c r="I413" s="1856" t="s">
        <v>3909</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4204</v>
      </c>
      <c r="D414" s="1858">
        <v>1</v>
      </c>
      <c r="E414" s="1858">
        <v>1</v>
      </c>
      <c r="F414" s="1859">
        <v>2</v>
      </c>
      <c r="G414" s="1872" t="s">
        <v>4204</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4205</v>
      </c>
      <c r="D415" s="1858">
        <v>0</v>
      </c>
      <c r="E415" s="1858">
        <v>0</v>
      </c>
      <c r="F415" s="1859">
        <v>0</v>
      </c>
      <c r="G415" s="1872" t="s">
        <v>4205</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4206</v>
      </c>
      <c r="D416" s="1858">
        <v>0</v>
      </c>
      <c r="E416" s="1858">
        <v>0</v>
      </c>
      <c r="F416" s="1859">
        <v>0</v>
      </c>
      <c r="G416" s="1872" t="s">
        <v>4206</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4207</v>
      </c>
      <c r="D417" s="1858">
        <v>0</v>
      </c>
      <c r="E417" s="1858">
        <v>0</v>
      </c>
      <c r="F417" s="1859">
        <v>0</v>
      </c>
      <c r="G417" s="1872" t="s">
        <v>4207</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4208</v>
      </c>
      <c r="D418" s="1858">
        <v>1</v>
      </c>
      <c r="E418" s="1858">
        <v>0</v>
      </c>
      <c r="F418" s="1859">
        <v>1</v>
      </c>
      <c r="G418" s="1872" t="s">
        <v>4208</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4209</v>
      </c>
      <c r="D419" s="1858">
        <v>0</v>
      </c>
      <c r="E419" s="1858">
        <v>0</v>
      </c>
      <c r="F419" s="1859">
        <v>0</v>
      </c>
      <c r="G419" s="1872" t="s">
        <v>4209</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4210</v>
      </c>
      <c r="D420" s="1858">
        <v>0</v>
      </c>
      <c r="E420" s="1858">
        <v>0</v>
      </c>
      <c r="F420" s="1859">
        <v>0</v>
      </c>
      <c r="G420" s="1872" t="s">
        <v>4210</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4211</v>
      </c>
      <c r="D421" s="1858">
        <v>0</v>
      </c>
      <c r="E421" s="1858">
        <v>0</v>
      </c>
      <c r="F421" s="1859">
        <v>0</v>
      </c>
      <c r="G421" s="1872" t="s">
        <v>4211</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4212</v>
      </c>
      <c r="D422" s="1858">
        <v>0</v>
      </c>
      <c r="E422" s="1858">
        <v>0</v>
      </c>
      <c r="F422" s="1859">
        <v>0</v>
      </c>
      <c r="G422" s="1872" t="s">
        <v>4212</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4213</v>
      </c>
      <c r="D423" s="1858">
        <v>0</v>
      </c>
      <c r="E423" s="1858">
        <v>0</v>
      </c>
      <c r="F423" s="1859">
        <v>0</v>
      </c>
      <c r="G423" s="1872" t="s">
        <v>4213</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4214</v>
      </c>
      <c r="D424" s="1858">
        <v>0</v>
      </c>
      <c r="E424" s="1858">
        <v>0</v>
      </c>
      <c r="F424" s="1859">
        <v>0</v>
      </c>
      <c r="G424" s="1872" t="s">
        <v>4214</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4215</v>
      </c>
      <c r="D425" s="1858">
        <v>0</v>
      </c>
      <c r="E425" s="1858">
        <v>0</v>
      </c>
      <c r="F425" s="1859">
        <v>0</v>
      </c>
      <c r="G425" s="1872" t="s">
        <v>4215</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4216</v>
      </c>
      <c r="D426" s="1858">
        <v>0</v>
      </c>
      <c r="E426" s="1858">
        <v>0</v>
      </c>
      <c r="F426" s="1859">
        <v>0</v>
      </c>
      <c r="G426" s="1872" t="s">
        <v>4216</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4217</v>
      </c>
      <c r="D427" s="1858">
        <v>0</v>
      </c>
      <c r="E427" s="1858">
        <v>0</v>
      </c>
      <c r="F427" s="1859">
        <v>0</v>
      </c>
      <c r="G427" s="1872" t="s">
        <v>4217</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4218</v>
      </c>
      <c r="D428" s="1858">
        <v>0</v>
      </c>
      <c r="E428" s="1858">
        <v>0</v>
      </c>
      <c r="F428" s="1859">
        <v>0</v>
      </c>
      <c r="G428" s="1872" t="s">
        <v>4218</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4219</v>
      </c>
      <c r="D429" s="1858">
        <v>0</v>
      </c>
      <c r="E429" s="1858">
        <v>0</v>
      </c>
      <c r="F429" s="1859">
        <v>0</v>
      </c>
      <c r="G429" s="1872" t="s">
        <v>4219</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4220</v>
      </c>
      <c r="D430" s="1858">
        <v>0</v>
      </c>
      <c r="E430" s="1858">
        <v>0</v>
      </c>
      <c r="F430" s="1859">
        <v>0</v>
      </c>
      <c r="G430" s="1872" t="s">
        <v>4220</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4221</v>
      </c>
      <c r="D431" s="1858">
        <v>1</v>
      </c>
      <c r="E431" s="1858">
        <v>1</v>
      </c>
      <c r="F431" s="1859">
        <v>2</v>
      </c>
      <c r="G431" s="1872" t="s">
        <v>4221</v>
      </c>
      <c r="H431" s="1856">
        <v>1</v>
      </c>
      <c r="I431" s="1856" t="s">
        <v>3909</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4222</v>
      </c>
      <c r="D432" s="1858">
        <v>1</v>
      </c>
      <c r="E432" s="1858">
        <v>1</v>
      </c>
      <c r="F432" s="1859">
        <v>2</v>
      </c>
      <c r="G432" s="1872" t="s">
        <v>4222</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4223</v>
      </c>
      <c r="D433" s="1858">
        <v>1</v>
      </c>
      <c r="E433" s="1858">
        <v>1</v>
      </c>
      <c r="F433" s="1859">
        <v>2</v>
      </c>
      <c r="G433" s="1872" t="s">
        <v>4223</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4224</v>
      </c>
      <c r="D434" s="1858">
        <v>1</v>
      </c>
      <c r="E434" s="1858">
        <v>1</v>
      </c>
      <c r="F434" s="1859">
        <v>2</v>
      </c>
      <c r="G434" s="1872" t="s">
        <v>4224</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4225</v>
      </c>
      <c r="D435" s="1858" t="s">
        <v>3909</v>
      </c>
      <c r="E435" s="1858" t="s">
        <v>3909</v>
      </c>
      <c r="F435" s="1859">
        <v>0</v>
      </c>
      <c r="G435" s="1872" t="s">
        <v>4225</v>
      </c>
      <c r="H435" s="1856" t="s">
        <v>3909</v>
      </c>
      <c r="I435" s="1856" t="s">
        <v>3909</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4226</v>
      </c>
      <c r="D436" s="1858">
        <v>0</v>
      </c>
      <c r="E436" s="1858">
        <v>0</v>
      </c>
      <c r="F436" s="1859">
        <v>0</v>
      </c>
      <c r="G436" s="1872" t="s">
        <v>4226</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4227</v>
      </c>
      <c r="D437" s="1858">
        <v>0</v>
      </c>
      <c r="E437" s="1858">
        <v>0</v>
      </c>
      <c r="F437" s="1859">
        <v>0</v>
      </c>
      <c r="G437" s="1872" t="s">
        <v>4227</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4228</v>
      </c>
      <c r="D438" s="1858">
        <v>1</v>
      </c>
      <c r="E438" s="1858">
        <v>1</v>
      </c>
      <c r="F438" s="1859">
        <v>2</v>
      </c>
      <c r="G438" s="1872" t="s">
        <v>4228</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4229</v>
      </c>
      <c r="D439" s="1858">
        <v>0</v>
      </c>
      <c r="E439" s="1858">
        <v>0</v>
      </c>
      <c r="F439" s="1859">
        <v>0</v>
      </c>
      <c r="G439" s="1872" t="s">
        <v>4229</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4230</v>
      </c>
      <c r="D440" s="1858">
        <v>0</v>
      </c>
      <c r="E440" s="1858">
        <v>1</v>
      </c>
      <c r="F440" s="1859">
        <v>1</v>
      </c>
      <c r="G440" s="1872" t="s">
        <v>4230</v>
      </c>
      <c r="H440" s="1856">
        <v>0</v>
      </c>
      <c r="I440" s="1856" t="s">
        <v>3909</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4231</v>
      </c>
      <c r="D441" s="1858">
        <v>0</v>
      </c>
      <c r="E441" s="1858">
        <v>1</v>
      </c>
      <c r="F441" s="1859">
        <v>1</v>
      </c>
      <c r="G441" s="1872" t="s">
        <v>4231</v>
      </c>
      <c r="H441" s="1856">
        <v>0</v>
      </c>
      <c r="I441" s="1856" t="s">
        <v>3909</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4232</v>
      </c>
      <c r="D442" s="1858">
        <v>0</v>
      </c>
      <c r="E442" s="1858">
        <v>0</v>
      </c>
      <c r="F442" s="1859">
        <v>0</v>
      </c>
      <c r="G442" s="1872" t="s">
        <v>4232</v>
      </c>
      <c r="H442" s="1856">
        <v>0</v>
      </c>
      <c r="I442" s="1856" t="s">
        <v>3909</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4233</v>
      </c>
      <c r="D443" s="1858">
        <v>1</v>
      </c>
      <c r="E443" s="1858">
        <v>0</v>
      </c>
      <c r="F443" s="1859">
        <v>1</v>
      </c>
      <c r="G443" s="1872" t="s">
        <v>4233</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4234</v>
      </c>
      <c r="D444" s="1858">
        <v>0</v>
      </c>
      <c r="E444" s="1858">
        <v>0</v>
      </c>
      <c r="F444" s="1859">
        <v>0</v>
      </c>
      <c r="G444" s="1872" t="s">
        <v>4234</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4235</v>
      </c>
      <c r="D445" s="1858">
        <v>1</v>
      </c>
      <c r="E445" s="1858">
        <v>1</v>
      </c>
      <c r="F445" s="1859">
        <v>2</v>
      </c>
      <c r="G445" s="1872" t="s">
        <v>4235</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4236</v>
      </c>
      <c r="D446" s="1858">
        <v>0</v>
      </c>
      <c r="E446" s="1858">
        <v>0</v>
      </c>
      <c r="F446" s="1859">
        <v>0</v>
      </c>
      <c r="G446" s="1872" t="s">
        <v>4236</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4237</v>
      </c>
      <c r="D447" s="1858">
        <v>0</v>
      </c>
      <c r="E447" s="1858">
        <v>0</v>
      </c>
      <c r="F447" s="1859">
        <v>0</v>
      </c>
      <c r="G447" s="1872" t="s">
        <v>4237</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4238</v>
      </c>
      <c r="D448" s="1858">
        <v>0</v>
      </c>
      <c r="E448" s="1858">
        <v>0</v>
      </c>
      <c r="F448" s="1859">
        <v>0</v>
      </c>
      <c r="G448" s="1872" t="s">
        <v>4238</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4239</v>
      </c>
      <c r="D449" s="1858">
        <v>0</v>
      </c>
      <c r="E449" s="1858">
        <v>0</v>
      </c>
      <c r="F449" s="1859">
        <v>0</v>
      </c>
      <c r="G449" s="1872" t="s">
        <v>4239</v>
      </c>
      <c r="H449" s="1856">
        <v>0</v>
      </c>
      <c r="I449" s="1856" t="s">
        <v>3909</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4240</v>
      </c>
      <c r="D450" s="1858">
        <v>0</v>
      </c>
      <c r="E450" s="1858">
        <v>0</v>
      </c>
      <c r="F450" s="1859">
        <v>0</v>
      </c>
      <c r="G450" s="1872" t="s">
        <v>4240</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4241</v>
      </c>
      <c r="D451" s="1858">
        <v>0</v>
      </c>
      <c r="E451" s="1858">
        <v>0</v>
      </c>
      <c r="F451" s="1859">
        <v>0</v>
      </c>
      <c r="G451" s="1872" t="s">
        <v>4241</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4242</v>
      </c>
      <c r="D452" s="1858">
        <v>0</v>
      </c>
      <c r="E452" s="1858">
        <v>0</v>
      </c>
      <c r="F452" s="1859">
        <v>0</v>
      </c>
      <c r="G452" s="1872" t="s">
        <v>4242</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4243</v>
      </c>
      <c r="D453" s="1858">
        <v>0</v>
      </c>
      <c r="E453" s="1858">
        <v>0</v>
      </c>
      <c r="F453" s="1859">
        <v>0</v>
      </c>
      <c r="G453" s="1872" t="s">
        <v>4243</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4244</v>
      </c>
      <c r="D454" s="1858">
        <v>0</v>
      </c>
      <c r="E454" s="1858">
        <v>1</v>
      </c>
      <c r="F454" s="1859">
        <v>1</v>
      </c>
      <c r="G454" s="1872" t="s">
        <v>4244</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4245</v>
      </c>
      <c r="D455" s="1858">
        <v>0</v>
      </c>
      <c r="E455" s="1858">
        <v>0</v>
      </c>
      <c r="F455" s="1859">
        <v>0</v>
      </c>
      <c r="G455" s="1872" t="s">
        <v>4245</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4246</v>
      </c>
      <c r="D456" s="1858">
        <v>0</v>
      </c>
      <c r="E456" s="1858">
        <v>1</v>
      </c>
      <c r="F456" s="1859">
        <v>1</v>
      </c>
      <c r="G456" s="1872" t="s">
        <v>4246</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4247</v>
      </c>
      <c r="D457" s="1858">
        <v>0</v>
      </c>
      <c r="E457" s="1858">
        <v>0</v>
      </c>
      <c r="F457" s="1859">
        <v>0</v>
      </c>
      <c r="G457" s="1872" t="s">
        <v>4247</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4248</v>
      </c>
      <c r="D458" s="1858">
        <v>0</v>
      </c>
      <c r="E458" s="1858">
        <v>0</v>
      </c>
      <c r="F458" s="1859">
        <v>0</v>
      </c>
      <c r="G458" s="1872" t="s">
        <v>4248</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4249</v>
      </c>
      <c r="D459" s="1858">
        <v>0</v>
      </c>
      <c r="E459" s="1858">
        <v>0</v>
      </c>
      <c r="F459" s="1859">
        <v>0</v>
      </c>
      <c r="G459" s="1872" t="s">
        <v>4249</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4250</v>
      </c>
      <c r="D460" s="1858">
        <v>0</v>
      </c>
      <c r="E460" s="1858">
        <v>1</v>
      </c>
      <c r="F460" s="1859">
        <v>1</v>
      </c>
      <c r="G460" s="1872" t="s">
        <v>4250</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4251</v>
      </c>
      <c r="D461" s="1858">
        <v>0</v>
      </c>
      <c r="E461" s="1858">
        <v>0</v>
      </c>
      <c r="F461" s="1859">
        <v>0</v>
      </c>
      <c r="G461" s="1872" t="s">
        <v>4251</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4252</v>
      </c>
      <c r="D462" s="1858">
        <v>0</v>
      </c>
      <c r="E462" s="1858">
        <v>0</v>
      </c>
      <c r="F462" s="1859">
        <v>0</v>
      </c>
      <c r="G462" s="1872" t="s">
        <v>4252</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4253</v>
      </c>
      <c r="D463" s="1858">
        <v>1</v>
      </c>
      <c r="E463" s="1858">
        <v>1</v>
      </c>
      <c r="F463" s="1859">
        <v>2</v>
      </c>
      <c r="G463" s="1872" t="s">
        <v>4253</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4254</v>
      </c>
      <c r="D464" s="1858">
        <v>1</v>
      </c>
      <c r="E464" s="1858">
        <v>1</v>
      </c>
      <c r="F464" s="1859">
        <v>2</v>
      </c>
      <c r="G464" s="1872" t="s">
        <v>4254</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4255</v>
      </c>
      <c r="D465" s="1858">
        <v>1</v>
      </c>
      <c r="E465" s="1858">
        <v>1</v>
      </c>
      <c r="F465" s="1859">
        <v>2</v>
      </c>
      <c r="G465" s="1872" t="s">
        <v>4255</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4256</v>
      </c>
      <c r="D466" s="1858">
        <v>0</v>
      </c>
      <c r="E466" s="1858">
        <v>1</v>
      </c>
      <c r="F466" s="1859">
        <v>1</v>
      </c>
      <c r="G466" s="1872" t="s">
        <v>4256</v>
      </c>
      <c r="H466" s="1856">
        <v>0</v>
      </c>
      <c r="I466" s="1856" t="s">
        <v>3909</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4257</v>
      </c>
      <c r="D467" s="1858">
        <v>0</v>
      </c>
      <c r="E467" s="1858">
        <v>0</v>
      </c>
      <c r="F467" s="1859">
        <v>0</v>
      </c>
      <c r="G467" s="1872" t="s">
        <v>4257</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4258</v>
      </c>
      <c r="D468" s="1858">
        <v>0</v>
      </c>
      <c r="E468" s="1858">
        <v>0</v>
      </c>
      <c r="F468" s="1859">
        <v>0</v>
      </c>
      <c r="G468" s="1872" t="s">
        <v>4258</v>
      </c>
      <c r="H468" s="1856">
        <v>0</v>
      </c>
      <c r="I468" s="1856" t="s">
        <v>3909</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4259</v>
      </c>
      <c r="D469" s="1858" t="s">
        <v>3909</v>
      </c>
      <c r="E469" s="1858" t="s">
        <v>3909</v>
      </c>
      <c r="F469" s="1859">
        <v>0</v>
      </c>
      <c r="G469" s="1872" t="s">
        <v>4259</v>
      </c>
      <c r="H469" s="1856" t="s">
        <v>3909</v>
      </c>
      <c r="I469" s="1856" t="s">
        <v>3909</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4260</v>
      </c>
      <c r="D470" s="1858">
        <v>0</v>
      </c>
      <c r="E470" s="1858">
        <v>0</v>
      </c>
      <c r="F470" s="1859">
        <v>0</v>
      </c>
      <c r="G470" s="1872" t="s">
        <v>4260</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4261</v>
      </c>
      <c r="D471" s="1858">
        <v>0</v>
      </c>
      <c r="E471" s="1858">
        <v>0</v>
      </c>
      <c r="F471" s="1859">
        <v>0</v>
      </c>
      <c r="G471" s="1872" t="s">
        <v>4261</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4262</v>
      </c>
      <c r="D472" s="1858">
        <v>0</v>
      </c>
      <c r="E472" s="1858">
        <v>0</v>
      </c>
      <c r="F472" s="1859">
        <v>0</v>
      </c>
      <c r="G472" s="1872" t="s">
        <v>4262</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4263</v>
      </c>
      <c r="D473" s="1858">
        <v>0</v>
      </c>
      <c r="E473" s="1858">
        <v>1</v>
      </c>
      <c r="F473" s="1859">
        <v>1</v>
      </c>
      <c r="G473" s="1872" t="s">
        <v>4263</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4264</v>
      </c>
      <c r="D474" s="1858">
        <v>1</v>
      </c>
      <c r="E474" s="1858">
        <v>1</v>
      </c>
      <c r="F474" s="1859">
        <v>2</v>
      </c>
      <c r="G474" s="1872" t="s">
        <v>4264</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4265</v>
      </c>
      <c r="D475" s="1858">
        <v>0</v>
      </c>
      <c r="E475" s="1858">
        <v>1</v>
      </c>
      <c r="F475" s="1859">
        <v>1</v>
      </c>
      <c r="G475" s="1872" t="s">
        <v>4265</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4266</v>
      </c>
      <c r="D476" s="1858">
        <v>0</v>
      </c>
      <c r="E476" s="1858">
        <v>0</v>
      </c>
      <c r="F476" s="1859">
        <v>0</v>
      </c>
      <c r="G476" s="1872" t="s">
        <v>4266</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4267</v>
      </c>
      <c r="D477" s="1858">
        <v>0</v>
      </c>
      <c r="E477" s="1858">
        <v>1</v>
      </c>
      <c r="F477" s="1859">
        <v>1</v>
      </c>
      <c r="G477" s="1872" t="s">
        <v>4267</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4268</v>
      </c>
      <c r="D478" s="1858">
        <v>0</v>
      </c>
      <c r="E478" s="1858">
        <v>0</v>
      </c>
      <c r="F478" s="1859">
        <v>0</v>
      </c>
      <c r="G478" s="1872" t="s">
        <v>4268</v>
      </c>
      <c r="H478" s="1856">
        <v>0</v>
      </c>
      <c r="I478" s="1856" t="s">
        <v>3909</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4269</v>
      </c>
      <c r="D479" s="1858">
        <v>0</v>
      </c>
      <c r="E479" s="1858">
        <v>1</v>
      </c>
      <c r="F479" s="1859">
        <v>1</v>
      </c>
      <c r="G479" s="1872" t="s">
        <v>4269</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4270</v>
      </c>
      <c r="D480" s="1858">
        <v>0</v>
      </c>
      <c r="E480" s="1858">
        <v>0</v>
      </c>
      <c r="F480" s="1859">
        <v>0</v>
      </c>
      <c r="G480" s="1872" t="s">
        <v>4270</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4271</v>
      </c>
      <c r="D481" s="1858">
        <v>0</v>
      </c>
      <c r="E481" s="1858">
        <v>0</v>
      </c>
      <c r="F481" s="1859">
        <v>0</v>
      </c>
      <c r="G481" s="1872" t="s">
        <v>4271</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4272</v>
      </c>
      <c r="D482" s="1858">
        <v>0</v>
      </c>
      <c r="E482" s="1858">
        <v>1</v>
      </c>
      <c r="F482" s="1859">
        <v>1</v>
      </c>
      <c r="G482" s="1872" t="s">
        <v>4272</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4273</v>
      </c>
      <c r="D483" s="1858">
        <v>1</v>
      </c>
      <c r="E483" s="1858">
        <v>1</v>
      </c>
      <c r="F483" s="1859">
        <v>2</v>
      </c>
      <c r="G483" s="1872" t="s">
        <v>4273</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4274</v>
      </c>
      <c r="D484" s="1858">
        <v>0</v>
      </c>
      <c r="E484" s="1858">
        <v>1</v>
      </c>
      <c r="F484" s="1859">
        <v>1</v>
      </c>
      <c r="G484" s="1872" t="s">
        <v>4274</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4275</v>
      </c>
      <c r="D485" s="1858">
        <v>0</v>
      </c>
      <c r="E485" s="1858">
        <v>1</v>
      </c>
      <c r="F485" s="1859">
        <v>1</v>
      </c>
      <c r="G485" s="1872" t="s">
        <v>4275</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4276</v>
      </c>
      <c r="D486" s="1858">
        <v>0</v>
      </c>
      <c r="E486" s="1858">
        <v>1</v>
      </c>
      <c r="F486" s="1859">
        <v>1</v>
      </c>
      <c r="G486" s="1872" t="s">
        <v>4276</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4277</v>
      </c>
      <c r="D487" s="1858">
        <v>1</v>
      </c>
      <c r="E487" s="1858">
        <v>1</v>
      </c>
      <c r="F487" s="1859">
        <v>2</v>
      </c>
      <c r="G487" s="1872" t="s">
        <v>4277</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4278</v>
      </c>
      <c r="D488" s="1858">
        <v>1</v>
      </c>
      <c r="E488" s="1858">
        <v>1</v>
      </c>
      <c r="F488" s="1859">
        <v>2</v>
      </c>
      <c r="G488" s="1872" t="s">
        <v>4278</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4279</v>
      </c>
      <c r="D489" s="1858">
        <v>0</v>
      </c>
      <c r="E489" s="1858">
        <v>0</v>
      </c>
      <c r="F489" s="1859">
        <v>0</v>
      </c>
      <c r="G489" s="1872" t="s">
        <v>4279</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4280</v>
      </c>
      <c r="D490" s="1858">
        <v>0</v>
      </c>
      <c r="E490" s="1858">
        <v>0</v>
      </c>
      <c r="F490" s="1859">
        <v>0</v>
      </c>
      <c r="G490" s="1872" t="s">
        <v>4280</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4281</v>
      </c>
      <c r="D491" s="1858">
        <v>1</v>
      </c>
      <c r="E491" s="1858">
        <v>0</v>
      </c>
      <c r="F491" s="1859">
        <v>1</v>
      </c>
      <c r="G491" s="1872" t="s">
        <v>4281</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4282</v>
      </c>
      <c r="D492" s="1858">
        <v>1</v>
      </c>
      <c r="E492" s="1858">
        <v>1</v>
      </c>
      <c r="F492" s="1859">
        <v>2</v>
      </c>
      <c r="G492" s="1872" t="s">
        <v>4282</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4283</v>
      </c>
      <c r="D493" s="1858">
        <v>1</v>
      </c>
      <c r="E493" s="1858">
        <v>1</v>
      </c>
      <c r="F493" s="1859">
        <v>2</v>
      </c>
      <c r="G493" s="1872" t="s">
        <v>4283</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4284</v>
      </c>
      <c r="D494" s="1858">
        <v>1</v>
      </c>
      <c r="E494" s="1858">
        <v>1</v>
      </c>
      <c r="F494" s="1859">
        <v>2</v>
      </c>
      <c r="G494" s="1872" t="s">
        <v>4284</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4285</v>
      </c>
      <c r="D495" s="1858">
        <v>1</v>
      </c>
      <c r="E495" s="1858">
        <v>1</v>
      </c>
      <c r="F495" s="1859">
        <v>2</v>
      </c>
      <c r="G495" s="1872" t="s">
        <v>4285</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4286</v>
      </c>
      <c r="D496" s="1858">
        <v>1</v>
      </c>
      <c r="E496" s="1858">
        <v>1</v>
      </c>
      <c r="F496" s="1859">
        <v>2</v>
      </c>
      <c r="G496" s="1872" t="s">
        <v>4286</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4287</v>
      </c>
      <c r="D497" s="1858">
        <v>0</v>
      </c>
      <c r="E497" s="1858">
        <v>0</v>
      </c>
      <c r="F497" s="1859">
        <v>0</v>
      </c>
      <c r="G497" s="1872" t="s">
        <v>4287</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4288</v>
      </c>
      <c r="D498" s="1858">
        <v>1</v>
      </c>
      <c r="E498" s="1858">
        <v>0</v>
      </c>
      <c r="F498" s="1859">
        <v>1</v>
      </c>
      <c r="G498" s="1872" t="s">
        <v>4288</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4289</v>
      </c>
      <c r="D499" s="1858">
        <v>0</v>
      </c>
      <c r="E499" s="1858">
        <v>0</v>
      </c>
      <c r="F499" s="1859">
        <v>0</v>
      </c>
      <c r="G499" s="1872" t="s">
        <v>4289</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4290</v>
      </c>
      <c r="D500" s="1858">
        <v>0</v>
      </c>
      <c r="E500" s="1858">
        <v>0</v>
      </c>
      <c r="F500" s="1859">
        <v>0</v>
      </c>
      <c r="G500" s="1872" t="s">
        <v>4290</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4291</v>
      </c>
      <c r="D501" s="1858">
        <v>0</v>
      </c>
      <c r="E501" s="1858">
        <v>0</v>
      </c>
      <c r="F501" s="1859">
        <v>0</v>
      </c>
      <c r="G501" s="1872" t="s">
        <v>4291</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4292</v>
      </c>
      <c r="D502" s="1858">
        <v>0</v>
      </c>
      <c r="E502" s="1858">
        <v>0</v>
      </c>
      <c r="F502" s="1859">
        <v>0</v>
      </c>
      <c r="G502" s="1872" t="s">
        <v>4292</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4293</v>
      </c>
      <c r="D503" s="1858">
        <v>0</v>
      </c>
      <c r="E503" s="1858">
        <v>0</v>
      </c>
      <c r="F503" s="1859">
        <v>0</v>
      </c>
      <c r="G503" s="1872" t="s">
        <v>4293</v>
      </c>
      <c r="H503" s="1856">
        <v>0</v>
      </c>
      <c r="I503" s="1856" t="s">
        <v>3909</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4294</v>
      </c>
      <c r="D504" s="1858">
        <v>1</v>
      </c>
      <c r="E504" s="1858">
        <v>1</v>
      </c>
      <c r="F504" s="1859">
        <v>2</v>
      </c>
      <c r="G504" s="1872" t="s">
        <v>4294</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4295</v>
      </c>
      <c r="D505" s="1858">
        <v>0</v>
      </c>
      <c r="E505" s="1858">
        <v>0</v>
      </c>
      <c r="F505" s="1859">
        <v>0</v>
      </c>
      <c r="G505" s="1872" t="s">
        <v>4295</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4296</v>
      </c>
      <c r="D506" s="1858">
        <v>0</v>
      </c>
      <c r="E506" s="1858">
        <v>0</v>
      </c>
      <c r="F506" s="1859">
        <v>0</v>
      </c>
      <c r="G506" s="1872" t="s">
        <v>4296</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4297</v>
      </c>
      <c r="D507" s="1858">
        <v>0</v>
      </c>
      <c r="E507" s="1858">
        <v>0</v>
      </c>
      <c r="F507" s="1859">
        <v>0</v>
      </c>
      <c r="G507" s="1872" t="s">
        <v>4297</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4298</v>
      </c>
      <c r="D508" s="1858">
        <v>0</v>
      </c>
      <c r="E508" s="1858">
        <v>0</v>
      </c>
      <c r="F508" s="1859">
        <v>0</v>
      </c>
      <c r="G508" s="1872" t="s">
        <v>4298</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4299</v>
      </c>
      <c r="D509" s="1858">
        <v>0</v>
      </c>
      <c r="E509" s="1858">
        <v>0</v>
      </c>
      <c r="F509" s="1859">
        <v>0</v>
      </c>
      <c r="G509" s="1872" t="s">
        <v>4299</v>
      </c>
      <c r="H509" s="1856">
        <v>0</v>
      </c>
      <c r="I509" s="1856" t="s">
        <v>3909</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4300</v>
      </c>
      <c r="D510" s="1858">
        <v>0</v>
      </c>
      <c r="E510" s="1858">
        <v>0</v>
      </c>
      <c r="F510" s="1859">
        <v>0</v>
      </c>
      <c r="G510" s="1872" t="s">
        <v>4300</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4301</v>
      </c>
      <c r="D511" s="1858">
        <v>0</v>
      </c>
      <c r="E511" s="1858">
        <v>0</v>
      </c>
      <c r="F511" s="1859">
        <v>0</v>
      </c>
      <c r="G511" s="1872" t="s">
        <v>4301</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4302</v>
      </c>
      <c r="D512" s="1858">
        <v>0</v>
      </c>
      <c r="E512" s="1858">
        <v>0</v>
      </c>
      <c r="F512" s="1859">
        <v>0</v>
      </c>
      <c r="G512" s="1872" t="s">
        <v>4302</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4303</v>
      </c>
      <c r="D513" s="1858">
        <v>0</v>
      </c>
      <c r="E513" s="1858">
        <v>0</v>
      </c>
      <c r="F513" s="1859">
        <v>0</v>
      </c>
      <c r="G513" s="1872" t="s">
        <v>4303</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4304</v>
      </c>
      <c r="D514" s="1858">
        <v>0</v>
      </c>
      <c r="E514" s="1858">
        <v>0</v>
      </c>
      <c r="F514" s="1859">
        <v>0</v>
      </c>
      <c r="G514" s="1872" t="s">
        <v>4304</v>
      </c>
      <c r="H514" s="1856">
        <v>0</v>
      </c>
      <c r="I514" s="1856" t="s">
        <v>3909</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4305</v>
      </c>
      <c r="D515" s="1858">
        <v>0</v>
      </c>
      <c r="E515" s="1858">
        <v>0</v>
      </c>
      <c r="F515" s="1859">
        <v>0</v>
      </c>
      <c r="G515" s="1872" t="s">
        <v>4305</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4306</v>
      </c>
      <c r="D516" s="1858">
        <v>0</v>
      </c>
      <c r="E516" s="1858">
        <v>0</v>
      </c>
      <c r="F516" s="1859">
        <v>0</v>
      </c>
      <c r="G516" s="1872" t="s">
        <v>4306</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4307</v>
      </c>
      <c r="D517" s="1858">
        <v>1</v>
      </c>
      <c r="E517" s="1858">
        <v>1</v>
      </c>
      <c r="F517" s="1859">
        <v>2</v>
      </c>
      <c r="G517" s="1872" t="s">
        <v>4307</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4308</v>
      </c>
      <c r="D518" s="1858">
        <v>1</v>
      </c>
      <c r="E518" s="1858">
        <v>1</v>
      </c>
      <c r="F518" s="1859">
        <v>2</v>
      </c>
      <c r="G518" s="1872" t="s">
        <v>4308</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4309</v>
      </c>
      <c r="D519" s="1858">
        <v>0</v>
      </c>
      <c r="E519" s="1858">
        <v>0</v>
      </c>
      <c r="F519" s="1859">
        <v>0</v>
      </c>
      <c r="G519" s="1872" t="s">
        <v>4309</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4310</v>
      </c>
      <c r="D520" s="1858">
        <v>0</v>
      </c>
      <c r="E520" s="1858">
        <v>0</v>
      </c>
      <c r="F520" s="1859">
        <v>0</v>
      </c>
      <c r="G520" s="1872" t="s">
        <v>4310</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4311</v>
      </c>
      <c r="D521" s="1858">
        <v>1</v>
      </c>
      <c r="E521" s="1858">
        <v>0</v>
      </c>
      <c r="F521" s="1859">
        <v>1</v>
      </c>
      <c r="G521" s="1872" t="s">
        <v>4311</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4312</v>
      </c>
      <c r="D522" s="1858">
        <v>0</v>
      </c>
      <c r="E522" s="1858">
        <v>0</v>
      </c>
      <c r="F522" s="1859">
        <v>0</v>
      </c>
      <c r="G522" s="1872" t="s">
        <v>4312</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4313</v>
      </c>
      <c r="D523" s="1858">
        <v>0</v>
      </c>
      <c r="E523" s="1858">
        <v>0</v>
      </c>
      <c r="F523" s="1859">
        <v>0</v>
      </c>
      <c r="G523" s="1872" t="s">
        <v>4313</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4314</v>
      </c>
      <c r="D524" s="1858">
        <v>0</v>
      </c>
      <c r="E524" s="1858">
        <v>0</v>
      </c>
      <c r="F524" s="1859">
        <v>0</v>
      </c>
      <c r="G524" s="1872" t="s">
        <v>4314</v>
      </c>
      <c r="H524" s="1856">
        <v>0</v>
      </c>
      <c r="I524" s="1856" t="s">
        <v>3909</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4315</v>
      </c>
      <c r="D525" s="1858">
        <v>0</v>
      </c>
      <c r="E525" s="1858">
        <v>0</v>
      </c>
      <c r="F525" s="1859">
        <v>0</v>
      </c>
      <c r="G525" s="1872" t="s">
        <v>4315</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4316</v>
      </c>
      <c r="D526" s="1858">
        <v>0</v>
      </c>
      <c r="E526" s="1858">
        <v>0</v>
      </c>
      <c r="F526" s="1859">
        <v>0</v>
      </c>
      <c r="G526" s="1872" t="s">
        <v>4316</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4317</v>
      </c>
      <c r="D527" s="1858">
        <v>0</v>
      </c>
      <c r="E527" s="1858">
        <v>0</v>
      </c>
      <c r="F527" s="1859">
        <v>0</v>
      </c>
      <c r="G527" s="1872" t="s">
        <v>4317</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4318</v>
      </c>
      <c r="D528" s="1858">
        <v>0</v>
      </c>
      <c r="E528" s="1858">
        <v>0</v>
      </c>
      <c r="F528" s="1859">
        <v>0</v>
      </c>
      <c r="G528" s="1872" t="s">
        <v>4318</v>
      </c>
      <c r="H528" s="1856">
        <v>0</v>
      </c>
      <c r="I528" s="1856" t="s">
        <v>3909</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4319</v>
      </c>
      <c r="D529" s="1858">
        <v>0</v>
      </c>
      <c r="E529" s="1858">
        <v>0</v>
      </c>
      <c r="F529" s="1859">
        <v>0</v>
      </c>
      <c r="G529" s="1872" t="s">
        <v>4319</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4320</v>
      </c>
      <c r="D530" s="1858">
        <v>0</v>
      </c>
      <c r="E530" s="1858">
        <v>0</v>
      </c>
      <c r="F530" s="1859">
        <v>0</v>
      </c>
      <c r="G530" s="1872" t="s">
        <v>4320</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4321</v>
      </c>
      <c r="D531" s="1858">
        <v>1</v>
      </c>
      <c r="E531" s="1858">
        <v>0</v>
      </c>
      <c r="F531" s="1859">
        <v>1</v>
      </c>
      <c r="G531" s="1872" t="s">
        <v>4321</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4322</v>
      </c>
      <c r="D532" s="1858">
        <v>0</v>
      </c>
      <c r="E532" s="1858">
        <v>0</v>
      </c>
      <c r="F532" s="1859">
        <v>0</v>
      </c>
      <c r="G532" s="1872" t="s">
        <v>4322</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4323</v>
      </c>
      <c r="D533" s="1858">
        <v>0</v>
      </c>
      <c r="E533" s="1858">
        <v>0</v>
      </c>
      <c r="F533" s="1859">
        <v>0</v>
      </c>
      <c r="G533" s="1872" t="s">
        <v>4323</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4324</v>
      </c>
      <c r="D534" s="1858">
        <v>0</v>
      </c>
      <c r="E534" s="1858">
        <v>0</v>
      </c>
      <c r="F534" s="1859">
        <v>0</v>
      </c>
      <c r="G534" s="1872" t="s">
        <v>4324</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4325</v>
      </c>
      <c r="D535" s="1858">
        <v>0</v>
      </c>
      <c r="E535" s="1858">
        <v>0</v>
      </c>
      <c r="F535" s="1859">
        <v>0</v>
      </c>
      <c r="G535" s="1872" t="s">
        <v>4325</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4326</v>
      </c>
      <c r="D536" s="1858">
        <v>0</v>
      </c>
      <c r="E536" s="1858">
        <v>0</v>
      </c>
      <c r="F536" s="1859">
        <v>0</v>
      </c>
      <c r="G536" s="1872" t="s">
        <v>4326</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4327</v>
      </c>
      <c r="D537" s="1858">
        <v>0</v>
      </c>
      <c r="E537" s="1858">
        <v>1</v>
      </c>
      <c r="F537" s="1859">
        <v>1</v>
      </c>
      <c r="G537" s="1872" t="s">
        <v>4327</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4328</v>
      </c>
      <c r="D538" s="1858">
        <v>0</v>
      </c>
      <c r="E538" s="1858">
        <v>1</v>
      </c>
      <c r="F538" s="1859">
        <v>1</v>
      </c>
      <c r="G538" s="1872" t="s">
        <v>4328</v>
      </c>
      <c r="H538" s="1856">
        <v>0</v>
      </c>
      <c r="I538" s="1856" t="s">
        <v>3909</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4329</v>
      </c>
      <c r="D539" s="1858">
        <v>0</v>
      </c>
      <c r="E539" s="1858">
        <v>0</v>
      </c>
      <c r="F539" s="1859">
        <v>0</v>
      </c>
      <c r="G539" s="1872" t="s">
        <v>4329</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4330</v>
      </c>
      <c r="D540" s="1858">
        <v>0</v>
      </c>
      <c r="E540" s="1858">
        <v>0</v>
      </c>
      <c r="F540" s="1859">
        <v>0</v>
      </c>
      <c r="G540" s="1872" t="s">
        <v>4330</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4331</v>
      </c>
      <c r="D541" s="1858">
        <v>0</v>
      </c>
      <c r="E541" s="1858">
        <v>0</v>
      </c>
      <c r="F541" s="1859">
        <v>0</v>
      </c>
      <c r="G541" s="1872" t="s">
        <v>4331</v>
      </c>
      <c r="H541" s="1856" t="s">
        <v>3909</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4332</v>
      </c>
      <c r="D542" s="1858">
        <v>0</v>
      </c>
      <c r="E542" s="1858">
        <v>0</v>
      </c>
      <c r="F542" s="1859">
        <v>0</v>
      </c>
      <c r="G542" s="1872" t="s">
        <v>4332</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4333</v>
      </c>
      <c r="D543" s="1858">
        <v>0</v>
      </c>
      <c r="E543" s="1858">
        <v>0</v>
      </c>
      <c r="F543" s="1859">
        <v>0</v>
      </c>
      <c r="G543" s="1872" t="s">
        <v>4333</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4334</v>
      </c>
      <c r="D544" s="1858">
        <v>0</v>
      </c>
      <c r="E544" s="1858">
        <v>0</v>
      </c>
      <c r="F544" s="1859">
        <v>0</v>
      </c>
      <c r="G544" s="1872" t="s">
        <v>4334</v>
      </c>
      <c r="H544" s="1856">
        <v>0</v>
      </c>
      <c r="I544" s="1856" t="s">
        <v>3909</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4335</v>
      </c>
      <c r="D545" s="1858">
        <v>0</v>
      </c>
      <c r="E545" s="1858">
        <v>0</v>
      </c>
      <c r="F545" s="1859">
        <v>0</v>
      </c>
      <c r="G545" s="1872" t="s">
        <v>4335</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4336</v>
      </c>
      <c r="D546" s="1858">
        <v>0</v>
      </c>
      <c r="E546" s="1858">
        <v>0</v>
      </c>
      <c r="F546" s="1859">
        <v>0</v>
      </c>
      <c r="G546" s="1872" t="s">
        <v>4336</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4337</v>
      </c>
      <c r="D547" s="1858">
        <v>1</v>
      </c>
      <c r="E547" s="1858">
        <v>0</v>
      </c>
      <c r="F547" s="1859">
        <v>1</v>
      </c>
      <c r="G547" s="1872" t="s">
        <v>4337</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4338</v>
      </c>
      <c r="D548" s="1858" t="s">
        <v>3909</v>
      </c>
      <c r="E548" s="1858" t="s">
        <v>3909</v>
      </c>
      <c r="F548" s="1859">
        <v>0</v>
      </c>
      <c r="G548" s="1872" t="s">
        <v>4338</v>
      </c>
      <c r="H548" s="1856" t="s">
        <v>3909</v>
      </c>
      <c r="I548" s="1856" t="s">
        <v>3909</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4339</v>
      </c>
      <c r="D549" s="1858">
        <v>1</v>
      </c>
      <c r="E549" s="1858">
        <v>1</v>
      </c>
      <c r="F549" s="1859">
        <v>2</v>
      </c>
      <c r="G549" s="1872" t="s">
        <v>4339</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4340</v>
      </c>
      <c r="D550" s="1858">
        <v>1</v>
      </c>
      <c r="E550" s="1858">
        <v>0</v>
      </c>
      <c r="F550" s="1859">
        <v>1</v>
      </c>
      <c r="G550" s="1872" t="s">
        <v>4340</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4341</v>
      </c>
      <c r="D551" s="1858">
        <v>1</v>
      </c>
      <c r="E551" s="1858">
        <v>1</v>
      </c>
      <c r="F551" s="1859">
        <v>2</v>
      </c>
      <c r="G551" s="1872" t="s">
        <v>4341</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4342</v>
      </c>
      <c r="D552" s="1858">
        <v>1</v>
      </c>
      <c r="E552" s="1858">
        <v>1</v>
      </c>
      <c r="F552" s="1859">
        <v>2</v>
      </c>
      <c r="G552" s="1872" t="s">
        <v>4342</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4343</v>
      </c>
      <c r="D553" s="1858">
        <v>1</v>
      </c>
      <c r="E553" s="1858">
        <v>1</v>
      </c>
      <c r="F553" s="1859">
        <v>2</v>
      </c>
      <c r="G553" s="1872" t="s">
        <v>4343</v>
      </c>
      <c r="H553" s="1856">
        <v>0</v>
      </c>
      <c r="I553" s="1856" t="s">
        <v>3909</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4344</v>
      </c>
      <c r="D554" s="1858">
        <v>1</v>
      </c>
      <c r="E554" s="1858">
        <v>1</v>
      </c>
      <c r="F554" s="1859">
        <v>2</v>
      </c>
      <c r="G554" s="1872" t="s">
        <v>4344</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4345</v>
      </c>
      <c r="D555" s="1858">
        <v>1</v>
      </c>
      <c r="E555" s="1858">
        <v>0</v>
      </c>
      <c r="F555" s="1859">
        <v>1</v>
      </c>
      <c r="G555" s="1872" t="s">
        <v>4345</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4346</v>
      </c>
      <c r="D556" s="1858">
        <v>1</v>
      </c>
      <c r="E556" s="1858">
        <v>1</v>
      </c>
      <c r="F556" s="1859">
        <v>2</v>
      </c>
      <c r="G556" s="1872" t="s">
        <v>4346</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4347</v>
      </c>
      <c r="D557" s="1858">
        <v>0</v>
      </c>
      <c r="E557" s="1858">
        <v>0</v>
      </c>
      <c r="F557" s="1859">
        <v>0</v>
      </c>
      <c r="G557" s="1872" t="s">
        <v>4347</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4348</v>
      </c>
      <c r="D558" s="1858">
        <v>1</v>
      </c>
      <c r="E558" s="1858">
        <v>1</v>
      </c>
      <c r="F558" s="1859">
        <v>2</v>
      </c>
      <c r="G558" s="1872" t="s">
        <v>4348</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4349</v>
      </c>
      <c r="D559" s="1858">
        <v>1</v>
      </c>
      <c r="E559" s="1858">
        <v>1</v>
      </c>
      <c r="F559" s="1859">
        <v>2</v>
      </c>
      <c r="G559" s="1872" t="s">
        <v>4349</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4350</v>
      </c>
      <c r="D560" s="1858">
        <v>1</v>
      </c>
      <c r="E560" s="1858">
        <v>1</v>
      </c>
      <c r="F560" s="1859">
        <v>2</v>
      </c>
      <c r="G560" s="1872" t="s">
        <v>4350</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4351</v>
      </c>
      <c r="D561" s="1858">
        <v>1</v>
      </c>
      <c r="E561" s="1858">
        <v>1</v>
      </c>
      <c r="F561" s="1859">
        <v>2</v>
      </c>
      <c r="G561" s="1872" t="s">
        <v>4351</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4352</v>
      </c>
      <c r="D562" s="1858">
        <v>1</v>
      </c>
      <c r="E562" s="1858">
        <v>1</v>
      </c>
      <c r="F562" s="1859">
        <v>2</v>
      </c>
      <c r="G562" s="1872" t="s">
        <v>4352</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4353</v>
      </c>
      <c r="D563" s="1858">
        <v>1</v>
      </c>
      <c r="E563" s="1858">
        <v>1</v>
      </c>
      <c r="F563" s="1859">
        <v>2</v>
      </c>
      <c r="G563" s="1872" t="s">
        <v>4353</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4354</v>
      </c>
      <c r="D564" s="1858">
        <v>1</v>
      </c>
      <c r="E564" s="1858">
        <v>1</v>
      </c>
      <c r="F564" s="1859">
        <v>2</v>
      </c>
      <c r="G564" s="1872" t="s">
        <v>4354</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4355</v>
      </c>
      <c r="D565" s="1858">
        <v>1</v>
      </c>
      <c r="E565" s="1858">
        <v>1</v>
      </c>
      <c r="F565" s="1859">
        <v>2</v>
      </c>
      <c r="G565" s="1872" t="s">
        <v>4355</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4356</v>
      </c>
      <c r="D566" s="1858">
        <v>1</v>
      </c>
      <c r="E566" s="1858">
        <v>1</v>
      </c>
      <c r="F566" s="1859">
        <v>2</v>
      </c>
      <c r="G566" s="1872" t="s">
        <v>4356</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4357</v>
      </c>
      <c r="D567" s="1858">
        <v>1</v>
      </c>
      <c r="E567" s="1858">
        <v>1</v>
      </c>
      <c r="F567" s="1859">
        <v>2</v>
      </c>
      <c r="G567" s="1872" t="s">
        <v>4357</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4358</v>
      </c>
      <c r="D568" s="1858">
        <v>0</v>
      </c>
      <c r="E568" s="1858">
        <v>1</v>
      </c>
      <c r="F568" s="1859">
        <v>1</v>
      </c>
      <c r="G568" s="1872" t="s">
        <v>4358</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4359</v>
      </c>
      <c r="D569" s="1858">
        <v>0</v>
      </c>
      <c r="E569" s="1858">
        <v>0</v>
      </c>
      <c r="F569" s="1859">
        <v>0</v>
      </c>
      <c r="G569" s="1872" t="s">
        <v>4359</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4360</v>
      </c>
      <c r="D570" s="1858">
        <v>0</v>
      </c>
      <c r="E570" s="1858">
        <v>0</v>
      </c>
      <c r="F570" s="1859">
        <v>0</v>
      </c>
      <c r="G570" s="1872" t="s">
        <v>4360</v>
      </c>
      <c r="H570" s="1856">
        <v>0</v>
      </c>
      <c r="I570" s="1856" t="s">
        <v>3909</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4361</v>
      </c>
      <c r="D571" s="1858">
        <v>1</v>
      </c>
      <c r="E571" s="1858">
        <v>1</v>
      </c>
      <c r="F571" s="1859">
        <v>2</v>
      </c>
      <c r="G571" s="1872" t="s">
        <v>4361</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4362</v>
      </c>
      <c r="D572" s="1858">
        <v>0</v>
      </c>
      <c r="E572" s="1858">
        <v>0</v>
      </c>
      <c r="F572" s="1859">
        <v>0</v>
      </c>
      <c r="G572" s="1872" t="s">
        <v>4362</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4363</v>
      </c>
      <c r="D573" s="1858" t="s">
        <v>3909</v>
      </c>
      <c r="E573" s="1858" t="s">
        <v>3909</v>
      </c>
      <c r="F573" s="1859">
        <v>0</v>
      </c>
      <c r="G573" s="1872" t="s">
        <v>4363</v>
      </c>
      <c r="H573" s="1856" t="s">
        <v>3909</v>
      </c>
      <c r="I573" s="1856" t="s">
        <v>3909</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4364</v>
      </c>
      <c r="D574" s="1858" t="s">
        <v>3909</v>
      </c>
      <c r="E574" s="1858" t="s">
        <v>3909</v>
      </c>
      <c r="F574" s="1859">
        <v>0</v>
      </c>
      <c r="G574" s="1872" t="s">
        <v>4364</v>
      </c>
      <c r="H574" s="1856" t="s">
        <v>3909</v>
      </c>
      <c r="I574" s="1856" t="s">
        <v>3909</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4365</v>
      </c>
      <c r="D575" s="1858">
        <v>0</v>
      </c>
      <c r="E575" s="1858">
        <v>0</v>
      </c>
      <c r="F575" s="1859">
        <v>0</v>
      </c>
      <c r="G575" s="1872" t="s">
        <v>4365</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4366</v>
      </c>
      <c r="D576" s="1858">
        <v>0</v>
      </c>
      <c r="E576" s="1858">
        <v>1</v>
      </c>
      <c r="F576" s="1859">
        <v>1</v>
      </c>
      <c r="G576" s="1872" t="s">
        <v>4366</v>
      </c>
      <c r="H576" s="1856">
        <v>0</v>
      </c>
      <c r="I576" s="1856" t="s">
        <v>3909</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4367</v>
      </c>
      <c r="D577" s="1858">
        <v>0</v>
      </c>
      <c r="E577" s="1858">
        <v>1</v>
      </c>
      <c r="F577" s="1859">
        <v>1</v>
      </c>
      <c r="G577" s="1872" t="s">
        <v>4367</v>
      </c>
      <c r="H577" s="1856">
        <v>0</v>
      </c>
      <c r="I577" s="1856" t="s">
        <v>3909</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4368</v>
      </c>
      <c r="D578" s="1858">
        <v>0</v>
      </c>
      <c r="E578" s="1858">
        <v>1</v>
      </c>
      <c r="F578" s="1859">
        <v>1</v>
      </c>
      <c r="G578" s="1872" t="s">
        <v>4368</v>
      </c>
      <c r="H578" s="1856">
        <v>0</v>
      </c>
      <c r="I578" s="1856" t="s">
        <v>3909</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4369</v>
      </c>
      <c r="D579" s="1858" t="s">
        <v>3909</v>
      </c>
      <c r="E579" s="1858" t="s">
        <v>3909</v>
      </c>
      <c r="F579" s="1859">
        <v>0</v>
      </c>
      <c r="G579" s="1872" t="s">
        <v>4369</v>
      </c>
      <c r="H579" s="1856" t="s">
        <v>3909</v>
      </c>
      <c r="I579" s="1856" t="s">
        <v>3909</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4370</v>
      </c>
      <c r="D580" s="1858">
        <v>0</v>
      </c>
      <c r="E580" s="1858">
        <v>0</v>
      </c>
      <c r="F580" s="1859">
        <v>0</v>
      </c>
      <c r="G580" s="1872" t="s">
        <v>4370</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4371</v>
      </c>
      <c r="D581" s="1858">
        <v>0</v>
      </c>
      <c r="E581" s="1858">
        <v>0</v>
      </c>
      <c r="F581" s="1859">
        <v>0</v>
      </c>
      <c r="G581" s="1872" t="s">
        <v>4371</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4372</v>
      </c>
      <c r="D582" s="1858">
        <v>0</v>
      </c>
      <c r="E582" s="1858">
        <v>0</v>
      </c>
      <c r="F582" s="1859">
        <v>0</v>
      </c>
      <c r="G582" s="1872" t="s">
        <v>4372</v>
      </c>
      <c r="H582" s="1856">
        <v>0</v>
      </c>
      <c r="I582" s="1856" t="s">
        <v>3909</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4373</v>
      </c>
      <c r="D583" s="1858">
        <v>0</v>
      </c>
      <c r="E583" s="1858">
        <v>0</v>
      </c>
      <c r="F583" s="1859">
        <v>0</v>
      </c>
      <c r="G583" s="1872" t="s">
        <v>4373</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4374</v>
      </c>
      <c r="D584" s="1858">
        <v>0</v>
      </c>
      <c r="E584" s="1858">
        <v>0</v>
      </c>
      <c r="F584" s="1859">
        <v>0</v>
      </c>
      <c r="G584" s="1872" t="s">
        <v>4374</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4375</v>
      </c>
      <c r="D585" s="1858">
        <v>0</v>
      </c>
      <c r="E585" s="1858">
        <v>0</v>
      </c>
      <c r="F585" s="1859">
        <v>0</v>
      </c>
      <c r="G585" s="1872" t="s">
        <v>4375</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4376</v>
      </c>
      <c r="D586" s="1858">
        <v>1</v>
      </c>
      <c r="E586" s="1858">
        <v>1</v>
      </c>
      <c r="F586" s="1859">
        <v>2</v>
      </c>
      <c r="G586" s="1872" t="s">
        <v>4376</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4377</v>
      </c>
      <c r="D587" s="1858">
        <v>1</v>
      </c>
      <c r="E587" s="1858">
        <v>1</v>
      </c>
      <c r="F587" s="1859">
        <v>2</v>
      </c>
      <c r="G587" s="1872" t="s">
        <v>4377</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4378</v>
      </c>
      <c r="D588" s="1858">
        <v>1</v>
      </c>
      <c r="E588" s="1858">
        <v>1</v>
      </c>
      <c r="F588" s="1859">
        <v>2</v>
      </c>
      <c r="G588" s="1872" t="s">
        <v>4378</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4379</v>
      </c>
      <c r="D589" s="1858">
        <v>0</v>
      </c>
      <c r="E589" s="1858">
        <v>0</v>
      </c>
      <c r="F589" s="1859">
        <v>0</v>
      </c>
      <c r="G589" s="1872" t="s">
        <v>4379</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4380</v>
      </c>
      <c r="D590" s="1858">
        <v>1</v>
      </c>
      <c r="E590" s="1858">
        <v>1</v>
      </c>
      <c r="F590" s="1859">
        <v>2</v>
      </c>
      <c r="G590" s="1872" t="s">
        <v>4380</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4381</v>
      </c>
      <c r="D591" s="1858">
        <v>1</v>
      </c>
      <c r="E591" s="1858">
        <v>1</v>
      </c>
      <c r="F591" s="1859">
        <v>2</v>
      </c>
      <c r="G591" s="1872" t="s">
        <v>4381</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4382</v>
      </c>
      <c r="D592" s="1858">
        <v>0</v>
      </c>
      <c r="E592" s="1858">
        <v>0</v>
      </c>
      <c r="F592" s="1859">
        <v>0</v>
      </c>
      <c r="G592" s="1872" t="s">
        <v>4382</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4383</v>
      </c>
      <c r="D593" s="1858">
        <v>1</v>
      </c>
      <c r="E593" s="1858">
        <v>1</v>
      </c>
      <c r="F593" s="1859">
        <v>2</v>
      </c>
      <c r="G593" s="1872" t="s">
        <v>4383</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4384</v>
      </c>
      <c r="D594" s="1858">
        <v>1</v>
      </c>
      <c r="E594" s="1858">
        <v>1</v>
      </c>
      <c r="F594" s="1859">
        <v>2</v>
      </c>
      <c r="G594" s="1872" t="s">
        <v>4384</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4385</v>
      </c>
      <c r="D595" s="1858">
        <v>1</v>
      </c>
      <c r="E595" s="1858">
        <v>1</v>
      </c>
      <c r="F595" s="1859">
        <v>2</v>
      </c>
      <c r="G595" s="1872" t="s">
        <v>4385</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4386</v>
      </c>
      <c r="D596" s="1858">
        <v>1</v>
      </c>
      <c r="E596" s="1858">
        <v>1</v>
      </c>
      <c r="F596" s="1859">
        <v>2</v>
      </c>
      <c r="G596" s="1872" t="s">
        <v>4386</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4387</v>
      </c>
      <c r="D597" s="1858">
        <v>1</v>
      </c>
      <c r="E597" s="1858">
        <v>1</v>
      </c>
      <c r="F597" s="1859">
        <v>2</v>
      </c>
      <c r="G597" s="1872" t="s">
        <v>4387</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4388</v>
      </c>
      <c r="D598" s="1858">
        <v>1</v>
      </c>
      <c r="E598" s="1858">
        <v>1</v>
      </c>
      <c r="F598" s="1859">
        <v>2</v>
      </c>
      <c r="G598" s="1872" t="s">
        <v>4388</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4389</v>
      </c>
      <c r="D599" s="1858">
        <v>1</v>
      </c>
      <c r="E599" s="1858">
        <v>1</v>
      </c>
      <c r="F599" s="1859">
        <v>2</v>
      </c>
      <c r="G599" s="1872" t="s">
        <v>4389</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4390</v>
      </c>
      <c r="D600" s="1858">
        <v>1</v>
      </c>
      <c r="E600" s="1858">
        <v>1</v>
      </c>
      <c r="F600" s="1859">
        <v>2</v>
      </c>
      <c r="G600" s="1872" t="s">
        <v>4390</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4391</v>
      </c>
      <c r="D601" s="1858">
        <v>1</v>
      </c>
      <c r="E601" s="1858">
        <v>1</v>
      </c>
      <c r="F601" s="1859">
        <v>2</v>
      </c>
      <c r="G601" s="1872" t="s">
        <v>4391</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4392</v>
      </c>
      <c r="D602" s="1858">
        <v>1</v>
      </c>
      <c r="E602" s="1858">
        <v>1</v>
      </c>
      <c r="F602" s="1859">
        <v>2</v>
      </c>
      <c r="G602" s="1872" t="s">
        <v>4392</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4393</v>
      </c>
      <c r="D603" s="1858">
        <v>0</v>
      </c>
      <c r="E603" s="1858">
        <v>1</v>
      </c>
      <c r="F603" s="1859">
        <v>1</v>
      </c>
      <c r="G603" s="1872" t="s">
        <v>4393</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4394</v>
      </c>
      <c r="D604" s="1858">
        <v>0</v>
      </c>
      <c r="E604" s="1858">
        <v>0</v>
      </c>
      <c r="F604" s="1859">
        <v>0</v>
      </c>
      <c r="G604" s="1872" t="s">
        <v>4394</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4395</v>
      </c>
      <c r="D605" s="1858">
        <v>1</v>
      </c>
      <c r="E605" s="1858">
        <v>1</v>
      </c>
      <c r="F605" s="1859">
        <v>2</v>
      </c>
      <c r="G605" s="1872" t="s">
        <v>4395</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4396</v>
      </c>
      <c r="D606" s="1858">
        <v>1</v>
      </c>
      <c r="E606" s="1858">
        <v>1</v>
      </c>
      <c r="F606" s="1859">
        <v>2</v>
      </c>
      <c r="G606" s="1872" t="s">
        <v>4396</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4397</v>
      </c>
      <c r="D607" s="1858">
        <v>1</v>
      </c>
      <c r="E607" s="1858">
        <v>1</v>
      </c>
      <c r="F607" s="1859">
        <v>2</v>
      </c>
      <c r="G607" s="1872" t="s">
        <v>4397</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4398</v>
      </c>
      <c r="D608" s="1858">
        <v>1</v>
      </c>
      <c r="E608" s="1858">
        <v>1</v>
      </c>
      <c r="F608" s="1859">
        <v>2</v>
      </c>
      <c r="G608" s="1872" t="s">
        <v>4398</v>
      </c>
      <c r="H608" s="1856">
        <v>1</v>
      </c>
      <c r="I608" s="1856" t="s">
        <v>3909</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4399</v>
      </c>
      <c r="D609" s="1858">
        <v>1</v>
      </c>
      <c r="E609" s="1858">
        <v>1</v>
      </c>
      <c r="F609" s="1859">
        <v>2</v>
      </c>
      <c r="G609" s="1872" t="s">
        <v>4399</v>
      </c>
      <c r="H609" s="1856">
        <v>1</v>
      </c>
      <c r="I609" s="1856" t="s">
        <v>3909</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4400</v>
      </c>
      <c r="D610" s="1858">
        <v>1</v>
      </c>
      <c r="E610" s="1858">
        <v>0</v>
      </c>
      <c r="F610" s="1859">
        <v>1</v>
      </c>
      <c r="G610" s="1872" t="s">
        <v>4400</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4401</v>
      </c>
      <c r="D611" s="1858">
        <v>1</v>
      </c>
      <c r="E611" s="1858">
        <v>1</v>
      </c>
      <c r="F611" s="1859">
        <v>2</v>
      </c>
      <c r="G611" s="1872" t="s">
        <v>4401</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4402</v>
      </c>
      <c r="D612" s="1858">
        <v>0</v>
      </c>
      <c r="E612" s="1858">
        <v>1</v>
      </c>
      <c r="F612" s="1859">
        <v>1</v>
      </c>
      <c r="G612" s="1872" t="s">
        <v>4402</v>
      </c>
      <c r="H612" s="1856">
        <v>0</v>
      </c>
      <c r="I612" s="1856" t="s">
        <v>3909</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4403</v>
      </c>
      <c r="D613" s="1858">
        <v>0</v>
      </c>
      <c r="E613" s="1858">
        <v>0</v>
      </c>
      <c r="F613" s="1859">
        <v>0</v>
      </c>
      <c r="G613" s="1872" t="s">
        <v>4403</v>
      </c>
      <c r="H613" s="1856">
        <v>0</v>
      </c>
      <c r="I613" s="1856" t="s">
        <v>3909</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4404</v>
      </c>
      <c r="D614" s="1858">
        <v>0</v>
      </c>
      <c r="E614" s="1858">
        <v>1</v>
      </c>
      <c r="F614" s="1859">
        <v>1</v>
      </c>
      <c r="G614" s="1872" t="s">
        <v>4404</v>
      </c>
      <c r="H614" s="1856">
        <v>0</v>
      </c>
      <c r="I614" s="1856" t="s">
        <v>3909</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4405</v>
      </c>
      <c r="D615" s="1858">
        <v>0</v>
      </c>
      <c r="E615" s="1858">
        <v>0</v>
      </c>
      <c r="F615" s="1859">
        <v>0</v>
      </c>
      <c r="G615" s="1872" t="s">
        <v>4405</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4406</v>
      </c>
      <c r="D616" s="1858">
        <v>0</v>
      </c>
      <c r="E616" s="1858">
        <v>0</v>
      </c>
      <c r="F616" s="1859">
        <v>0</v>
      </c>
      <c r="G616" s="1872" t="s">
        <v>4406</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4407</v>
      </c>
      <c r="D617" s="1858">
        <v>1</v>
      </c>
      <c r="E617" s="1858">
        <v>0</v>
      </c>
      <c r="F617" s="1859">
        <v>1</v>
      </c>
      <c r="G617" s="1872" t="s">
        <v>4407</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4408</v>
      </c>
      <c r="D618" s="1858">
        <v>1</v>
      </c>
      <c r="E618" s="1858">
        <v>1</v>
      </c>
      <c r="F618" s="1859">
        <v>2</v>
      </c>
      <c r="G618" s="1872" t="s">
        <v>4408</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4409</v>
      </c>
      <c r="D619" s="1858">
        <v>0</v>
      </c>
      <c r="E619" s="1858">
        <v>1</v>
      </c>
      <c r="F619" s="1859">
        <v>1</v>
      </c>
      <c r="G619" s="1872" t="s">
        <v>4409</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4410</v>
      </c>
      <c r="D620" s="1858">
        <v>0</v>
      </c>
      <c r="E620" s="1858">
        <v>0</v>
      </c>
      <c r="F620" s="1859">
        <v>0</v>
      </c>
      <c r="G620" s="1872" t="s">
        <v>4410</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4411</v>
      </c>
      <c r="D621" s="1858">
        <v>1</v>
      </c>
      <c r="E621" s="1858">
        <v>1</v>
      </c>
      <c r="F621" s="1859">
        <v>2</v>
      </c>
      <c r="G621" s="1872" t="s">
        <v>4411</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4412</v>
      </c>
      <c r="D622" s="1858">
        <v>0</v>
      </c>
      <c r="E622" s="1858">
        <v>1</v>
      </c>
      <c r="F622" s="1859">
        <v>1</v>
      </c>
      <c r="G622" s="1872" t="s">
        <v>4412</v>
      </c>
      <c r="H622" s="1856">
        <v>0</v>
      </c>
      <c r="I622" s="1856" t="s">
        <v>3909</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4413</v>
      </c>
      <c r="D623" s="1858">
        <v>1</v>
      </c>
      <c r="E623" s="1858">
        <v>1</v>
      </c>
      <c r="F623" s="1859">
        <v>2</v>
      </c>
      <c r="G623" s="1872" t="s">
        <v>4413</v>
      </c>
      <c r="H623" s="1856">
        <v>1</v>
      </c>
      <c r="I623" s="1856" t="s">
        <v>3909</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4414</v>
      </c>
      <c r="D624" s="1858">
        <v>0</v>
      </c>
      <c r="E624" s="1858">
        <v>0</v>
      </c>
      <c r="F624" s="1859">
        <v>0</v>
      </c>
      <c r="G624" s="1872" t="s">
        <v>4414</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4415</v>
      </c>
      <c r="D625" s="1858">
        <v>0</v>
      </c>
      <c r="E625" s="1858">
        <v>0</v>
      </c>
      <c r="F625" s="1859">
        <v>0</v>
      </c>
      <c r="G625" s="1872" t="s">
        <v>4415</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4416</v>
      </c>
      <c r="D626" s="1858">
        <v>0</v>
      </c>
      <c r="E626" s="1858">
        <v>0</v>
      </c>
      <c r="F626" s="1859">
        <v>0</v>
      </c>
      <c r="G626" s="1872" t="s">
        <v>4416</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4417</v>
      </c>
      <c r="D627" s="1858">
        <v>1</v>
      </c>
      <c r="E627" s="1858">
        <v>0</v>
      </c>
      <c r="F627" s="1859">
        <v>1</v>
      </c>
      <c r="G627" s="1872" t="s">
        <v>4417</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4418</v>
      </c>
      <c r="D628" s="1858">
        <v>0</v>
      </c>
      <c r="E628" s="1858">
        <v>0</v>
      </c>
      <c r="F628" s="1859">
        <v>0</v>
      </c>
      <c r="G628" s="1872" t="s">
        <v>4418</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4419</v>
      </c>
      <c r="D629" s="1858">
        <v>0</v>
      </c>
      <c r="E629" s="1858">
        <v>0</v>
      </c>
      <c r="F629" s="1859">
        <v>0</v>
      </c>
      <c r="G629" s="1872" t="s">
        <v>4419</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4420</v>
      </c>
      <c r="D630" s="1858">
        <v>1</v>
      </c>
      <c r="E630" s="1858">
        <v>1</v>
      </c>
      <c r="F630" s="1859">
        <v>2</v>
      </c>
      <c r="G630" s="1872" t="s">
        <v>4420</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4421</v>
      </c>
      <c r="D631" s="1858">
        <v>0</v>
      </c>
      <c r="E631" s="1858">
        <v>0</v>
      </c>
      <c r="F631" s="1859">
        <v>0</v>
      </c>
      <c r="G631" s="1872" t="s">
        <v>4421</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4422</v>
      </c>
      <c r="D632" s="1858">
        <v>0</v>
      </c>
      <c r="E632" s="1858">
        <v>0</v>
      </c>
      <c r="F632" s="1859">
        <v>0</v>
      </c>
      <c r="G632" s="1872" t="s">
        <v>4422</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4423</v>
      </c>
      <c r="D633" s="1858">
        <v>0</v>
      </c>
      <c r="E633" s="1858">
        <v>0</v>
      </c>
      <c r="F633" s="1859">
        <v>0</v>
      </c>
      <c r="G633" s="1872" t="s">
        <v>4423</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4424</v>
      </c>
      <c r="D634" s="1858">
        <v>0</v>
      </c>
      <c r="E634" s="1858">
        <v>0</v>
      </c>
      <c r="F634" s="1859">
        <v>0</v>
      </c>
      <c r="G634" s="1872" t="s">
        <v>4424</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4425</v>
      </c>
      <c r="D635" s="1858">
        <v>1</v>
      </c>
      <c r="E635" s="1858">
        <v>0</v>
      </c>
      <c r="F635" s="1859">
        <v>1</v>
      </c>
      <c r="G635" s="1872" t="s">
        <v>4425</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4426</v>
      </c>
      <c r="D636" s="1858">
        <v>0</v>
      </c>
      <c r="E636" s="1858">
        <v>1</v>
      </c>
      <c r="F636" s="1859">
        <v>1</v>
      </c>
      <c r="G636" s="1872" t="s">
        <v>4426</v>
      </c>
      <c r="H636" s="1856">
        <v>0</v>
      </c>
      <c r="I636" s="1856" t="s">
        <v>3909</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4427</v>
      </c>
      <c r="D637" s="1858">
        <v>0</v>
      </c>
      <c r="E637" s="1858">
        <v>1</v>
      </c>
      <c r="F637" s="1859">
        <v>1</v>
      </c>
      <c r="G637" s="1872" t="s">
        <v>4427</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4428</v>
      </c>
      <c r="D638" s="1858">
        <v>0</v>
      </c>
      <c r="E638" s="1858">
        <v>0</v>
      </c>
      <c r="F638" s="1859">
        <v>0</v>
      </c>
      <c r="G638" s="1872" t="s">
        <v>4428</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4429</v>
      </c>
      <c r="D639" s="1858">
        <v>1</v>
      </c>
      <c r="E639" s="1858">
        <v>0</v>
      </c>
      <c r="F639" s="1859">
        <v>1</v>
      </c>
      <c r="G639" s="1872" t="s">
        <v>4429</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4430</v>
      </c>
      <c r="D640" s="1858">
        <v>1</v>
      </c>
      <c r="E640" s="1858">
        <v>1</v>
      </c>
      <c r="F640" s="1859">
        <v>2</v>
      </c>
      <c r="G640" s="1872" t="s">
        <v>4430</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4431</v>
      </c>
      <c r="D641" s="1858">
        <v>1</v>
      </c>
      <c r="E641" s="1858">
        <v>1</v>
      </c>
      <c r="F641" s="1859">
        <v>2</v>
      </c>
      <c r="G641" s="1872" t="s">
        <v>4431</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4432</v>
      </c>
      <c r="D642" s="1858">
        <v>0</v>
      </c>
      <c r="E642" s="1858">
        <v>0</v>
      </c>
      <c r="F642" s="1859">
        <v>0</v>
      </c>
      <c r="G642" s="1872" t="s">
        <v>4432</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4433</v>
      </c>
      <c r="D643" s="1858">
        <v>0</v>
      </c>
      <c r="E643" s="1858">
        <v>0</v>
      </c>
      <c r="F643" s="1859">
        <v>0</v>
      </c>
      <c r="G643" s="1872" t="s">
        <v>4433</v>
      </c>
      <c r="H643" s="1856">
        <v>0</v>
      </c>
      <c r="I643" s="1856" t="s">
        <v>3909</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4434</v>
      </c>
      <c r="D644" s="1858">
        <v>0</v>
      </c>
      <c r="E644" s="1858">
        <v>0</v>
      </c>
      <c r="F644" s="1859">
        <v>0</v>
      </c>
      <c r="G644" s="1872" t="s">
        <v>4434</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4435</v>
      </c>
      <c r="D645" s="1858">
        <v>0</v>
      </c>
      <c r="E645" s="1858">
        <v>0</v>
      </c>
      <c r="F645" s="1859">
        <v>0</v>
      </c>
      <c r="G645" s="1872" t="s">
        <v>4435</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4436</v>
      </c>
      <c r="D646" s="1858">
        <v>0</v>
      </c>
      <c r="E646" s="1858">
        <v>0</v>
      </c>
      <c r="F646" s="1859">
        <v>0</v>
      </c>
      <c r="G646" s="1872" t="s">
        <v>4436</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4437</v>
      </c>
      <c r="D647" s="1858">
        <v>0</v>
      </c>
      <c r="E647" s="1858">
        <v>0</v>
      </c>
      <c r="F647" s="1859">
        <v>0</v>
      </c>
      <c r="G647" s="1872" t="s">
        <v>4437</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4438</v>
      </c>
      <c r="D648" s="1858">
        <v>0</v>
      </c>
      <c r="E648" s="1858">
        <v>0</v>
      </c>
      <c r="F648" s="1859">
        <v>0</v>
      </c>
      <c r="G648" s="1872" t="s">
        <v>4438</v>
      </c>
      <c r="H648" s="1856">
        <v>0</v>
      </c>
      <c r="I648" s="1856" t="s">
        <v>3909</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4439</v>
      </c>
      <c r="D649" s="1858">
        <v>0</v>
      </c>
      <c r="E649" s="1858">
        <v>0</v>
      </c>
      <c r="F649" s="1859">
        <v>0</v>
      </c>
      <c r="G649" s="1872" t="s">
        <v>4439</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4440</v>
      </c>
      <c r="D650" s="1858">
        <v>0</v>
      </c>
      <c r="E650" s="1858">
        <v>0</v>
      </c>
      <c r="F650" s="1859">
        <v>0</v>
      </c>
      <c r="G650" s="1872" t="s">
        <v>4440</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4441</v>
      </c>
      <c r="D651" s="1858">
        <v>0</v>
      </c>
      <c r="E651" s="1858">
        <v>0</v>
      </c>
      <c r="F651" s="1859">
        <v>0</v>
      </c>
      <c r="G651" s="1872" t="s">
        <v>4441</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4442</v>
      </c>
      <c r="D652" s="1858">
        <v>0</v>
      </c>
      <c r="E652" s="1858">
        <v>0</v>
      </c>
      <c r="F652" s="1859">
        <v>0</v>
      </c>
      <c r="G652" s="1872" t="s">
        <v>4442</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4443</v>
      </c>
      <c r="D653" s="1858">
        <v>0</v>
      </c>
      <c r="E653" s="1858">
        <v>0</v>
      </c>
      <c r="F653" s="1859">
        <v>0</v>
      </c>
      <c r="G653" s="1872" t="s">
        <v>4443</v>
      </c>
      <c r="H653" s="1856">
        <v>1</v>
      </c>
      <c r="I653" s="1856" t="s">
        <v>3909</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4444</v>
      </c>
      <c r="D654" s="1858">
        <v>0</v>
      </c>
      <c r="E654" s="1858">
        <v>0</v>
      </c>
      <c r="F654" s="1859">
        <v>0</v>
      </c>
      <c r="G654" s="1872" t="s">
        <v>4444</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4445</v>
      </c>
      <c r="D655" s="1858">
        <v>1</v>
      </c>
      <c r="E655" s="1858">
        <v>0</v>
      </c>
      <c r="F655" s="1859">
        <v>1</v>
      </c>
      <c r="G655" s="1872" t="s">
        <v>4445</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4446</v>
      </c>
      <c r="D656" s="1858">
        <v>0</v>
      </c>
      <c r="E656" s="1858">
        <v>0</v>
      </c>
      <c r="F656" s="1859">
        <v>0</v>
      </c>
      <c r="G656" s="1872" t="s">
        <v>4446</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4447</v>
      </c>
      <c r="D657" s="1858">
        <v>0</v>
      </c>
      <c r="E657" s="1858">
        <v>0</v>
      </c>
      <c r="F657" s="1859">
        <v>0</v>
      </c>
      <c r="G657" s="1872" t="s">
        <v>4447</v>
      </c>
      <c r="H657" s="1856">
        <v>0</v>
      </c>
      <c r="I657" s="1856">
        <v>0</v>
      </c>
      <c r="J657" s="1873">
        <v>0</v>
      </c>
      <c r="K657" s="1860"/>
      <c r="L657" s="1854">
        <v>13063040413</v>
      </c>
      <c r="M657" s="1855">
        <v>0</v>
      </c>
      <c r="N657" s="1855">
        <v>0</v>
      </c>
      <c r="O657" s="1855">
        <v>0</v>
      </c>
      <c r="P657" s="568" t="s">
        <v>1765</v>
      </c>
      <c r="Q657" s="313"/>
      <c r="R657" s="183"/>
      <c r="S657" s="414"/>
      <c r="T657" s="515" t="s">
        <v>3785</v>
      </c>
      <c r="U657" s="515" t="s">
        <v>1133</v>
      </c>
      <c r="AA657" s="27"/>
      <c r="AB657" s="27"/>
      <c r="AC657" s="911"/>
      <c r="AD657" s="523"/>
    </row>
    <row r="658" spans="3:30" ht="10.5" customHeight="1">
      <c r="C658" s="1861" t="s">
        <v>4448</v>
      </c>
      <c r="D658" s="1858">
        <v>0</v>
      </c>
      <c r="E658" s="1858">
        <v>0</v>
      </c>
      <c r="F658" s="1859">
        <v>0</v>
      </c>
      <c r="G658" s="1872" t="s">
        <v>4448</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4449</v>
      </c>
      <c r="D659" s="1858">
        <v>0</v>
      </c>
      <c r="E659" s="1858">
        <v>0</v>
      </c>
      <c r="F659" s="1859">
        <v>0</v>
      </c>
      <c r="G659" s="1872" t="s">
        <v>4449</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4450</v>
      </c>
      <c r="D660" s="1858">
        <v>0</v>
      </c>
      <c r="E660" s="1858">
        <v>0</v>
      </c>
      <c r="F660" s="1859">
        <v>0</v>
      </c>
      <c r="G660" s="1872" t="s">
        <v>4450</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4451</v>
      </c>
      <c r="D661" s="1858">
        <v>0</v>
      </c>
      <c r="E661" s="1858">
        <v>0</v>
      </c>
      <c r="F661" s="1859">
        <v>0</v>
      </c>
      <c r="G661" s="1872" t="s">
        <v>4451</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4452</v>
      </c>
      <c r="D662" s="1858">
        <v>0</v>
      </c>
      <c r="E662" s="1858">
        <v>0</v>
      </c>
      <c r="F662" s="1859">
        <v>0</v>
      </c>
      <c r="G662" s="1872" t="s">
        <v>4452</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4453</v>
      </c>
      <c r="D663" s="1858">
        <v>0</v>
      </c>
      <c r="E663" s="1858">
        <v>0</v>
      </c>
      <c r="F663" s="1859">
        <v>0</v>
      </c>
      <c r="G663" s="1872" t="s">
        <v>4453</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4454</v>
      </c>
      <c r="D664" s="1858">
        <v>0</v>
      </c>
      <c r="E664" s="1858">
        <v>0</v>
      </c>
      <c r="F664" s="1859">
        <v>0</v>
      </c>
      <c r="G664" s="1872" t="s">
        <v>4454</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4455</v>
      </c>
      <c r="D665" s="1858">
        <v>0</v>
      </c>
      <c r="E665" s="1858">
        <v>1</v>
      </c>
      <c r="F665" s="1859">
        <v>1</v>
      </c>
      <c r="G665" s="1872" t="s">
        <v>4455</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4456</v>
      </c>
      <c r="D666" s="1858">
        <v>0</v>
      </c>
      <c r="E666" s="1858">
        <v>0</v>
      </c>
      <c r="F666" s="1859">
        <v>0</v>
      </c>
      <c r="G666" s="1872" t="s">
        <v>4456</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4457</v>
      </c>
      <c r="D667" s="1858">
        <v>0</v>
      </c>
      <c r="E667" s="1858">
        <v>0</v>
      </c>
      <c r="F667" s="1859">
        <v>0</v>
      </c>
      <c r="G667" s="1872" t="s">
        <v>4457</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4458</v>
      </c>
      <c r="D668" s="1858">
        <v>0</v>
      </c>
      <c r="E668" s="1858">
        <v>0</v>
      </c>
      <c r="F668" s="1859">
        <v>0</v>
      </c>
      <c r="G668" s="1872" t="s">
        <v>4458</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4459</v>
      </c>
      <c r="D669" s="1858">
        <v>0</v>
      </c>
      <c r="E669" s="1858">
        <v>0</v>
      </c>
      <c r="F669" s="1859">
        <v>0</v>
      </c>
      <c r="G669" s="1872" t="s">
        <v>4459</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4460</v>
      </c>
      <c r="D670" s="1858">
        <v>0</v>
      </c>
      <c r="E670" s="1858">
        <v>0</v>
      </c>
      <c r="F670" s="1859">
        <v>0</v>
      </c>
      <c r="G670" s="1872" t="s">
        <v>4460</v>
      </c>
      <c r="H670" s="1856">
        <v>0</v>
      </c>
      <c r="I670" s="1856" t="s">
        <v>3909</v>
      </c>
      <c r="J670" s="1873">
        <v>0</v>
      </c>
      <c r="K670" s="1860"/>
      <c r="L670" s="1854">
        <v>13063040519</v>
      </c>
      <c r="M670" s="1855">
        <v>0</v>
      </c>
      <c r="N670" s="1855">
        <v>0</v>
      </c>
      <c r="O670" s="1855">
        <v>0</v>
      </c>
      <c r="P670" s="568" t="s">
        <v>1830</v>
      </c>
      <c r="Q670" s="313"/>
      <c r="R670" s="183"/>
      <c r="S670" s="414"/>
      <c r="T670" s="515" t="s">
        <v>3786</v>
      </c>
      <c r="U670" s="515" t="s">
        <v>585</v>
      </c>
      <c r="AA670" s="27"/>
      <c r="AB670" s="27"/>
      <c r="AC670" s="911"/>
      <c r="AD670" s="523"/>
    </row>
    <row r="671" spans="3:30" ht="10.5" customHeight="1">
      <c r="C671" s="1861" t="s">
        <v>4461</v>
      </c>
      <c r="D671" s="1858">
        <v>0</v>
      </c>
      <c r="E671" s="1858">
        <v>0</v>
      </c>
      <c r="F671" s="1859">
        <v>0</v>
      </c>
      <c r="G671" s="1872" t="s">
        <v>4461</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4462</v>
      </c>
      <c r="D672" s="1858">
        <v>0</v>
      </c>
      <c r="E672" s="1858">
        <v>0</v>
      </c>
      <c r="F672" s="1859">
        <v>0</v>
      </c>
      <c r="G672" s="1872" t="s">
        <v>4462</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4463</v>
      </c>
      <c r="D673" s="1858">
        <v>0</v>
      </c>
      <c r="E673" s="1858">
        <v>0</v>
      </c>
      <c r="F673" s="1859">
        <v>0</v>
      </c>
      <c r="G673" s="1872" t="s">
        <v>4463</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4464</v>
      </c>
      <c r="D674" s="1858">
        <v>0</v>
      </c>
      <c r="E674" s="1858">
        <v>0</v>
      </c>
      <c r="F674" s="1859">
        <v>0</v>
      </c>
      <c r="G674" s="1872" t="s">
        <v>4464</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4465</v>
      </c>
      <c r="D675" s="1858">
        <v>0</v>
      </c>
      <c r="E675" s="1858">
        <v>0</v>
      </c>
      <c r="F675" s="1859">
        <v>0</v>
      </c>
      <c r="G675" s="1872" t="s">
        <v>4465</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4466</v>
      </c>
      <c r="D676" s="1858">
        <v>0</v>
      </c>
      <c r="E676" s="1858">
        <v>0</v>
      </c>
      <c r="F676" s="1859">
        <v>0</v>
      </c>
      <c r="G676" s="1872" t="s">
        <v>4466</v>
      </c>
      <c r="H676" s="1856">
        <v>0</v>
      </c>
      <c r="I676" s="1856" t="s">
        <v>3909</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4467</v>
      </c>
      <c r="D677" s="1858">
        <v>0</v>
      </c>
      <c r="E677" s="1858">
        <v>0</v>
      </c>
      <c r="F677" s="1859">
        <v>0</v>
      </c>
      <c r="G677" s="1872" t="s">
        <v>4467</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4468</v>
      </c>
      <c r="D678" s="1858">
        <v>0</v>
      </c>
      <c r="E678" s="1858">
        <v>0</v>
      </c>
      <c r="F678" s="1859">
        <v>0</v>
      </c>
      <c r="G678" s="1872" t="s">
        <v>4468</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4469</v>
      </c>
      <c r="D679" s="1858">
        <v>1</v>
      </c>
      <c r="E679" s="1858">
        <v>1</v>
      </c>
      <c r="F679" s="1859">
        <v>2</v>
      </c>
      <c r="G679" s="1872" t="s">
        <v>4469</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4470</v>
      </c>
      <c r="D680" s="1858">
        <v>1</v>
      </c>
      <c r="E680" s="1858">
        <v>1</v>
      </c>
      <c r="F680" s="1859">
        <v>2</v>
      </c>
      <c r="G680" s="1872" t="s">
        <v>4470</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4471</v>
      </c>
      <c r="D681" s="1858">
        <v>0</v>
      </c>
      <c r="E681" s="1858">
        <v>0</v>
      </c>
      <c r="F681" s="1859">
        <v>0</v>
      </c>
      <c r="G681" s="1872" t="s">
        <v>4471</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4472</v>
      </c>
      <c r="D682" s="1858">
        <v>0</v>
      </c>
      <c r="E682" s="1858">
        <v>0</v>
      </c>
      <c r="F682" s="1859">
        <v>0</v>
      </c>
      <c r="G682" s="1872" t="s">
        <v>4472</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4473</v>
      </c>
      <c r="D683" s="1858">
        <v>0</v>
      </c>
      <c r="E683" s="1858">
        <v>0</v>
      </c>
      <c r="F683" s="1859">
        <v>0</v>
      </c>
      <c r="G683" s="1872" t="s">
        <v>4473</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4474</v>
      </c>
      <c r="D684" s="1858">
        <v>1</v>
      </c>
      <c r="E684" s="1858">
        <v>0</v>
      </c>
      <c r="F684" s="1859">
        <v>1</v>
      </c>
      <c r="G684" s="1872" t="s">
        <v>4474</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4475</v>
      </c>
      <c r="D685" s="1858">
        <v>1</v>
      </c>
      <c r="E685" s="1858">
        <v>0</v>
      </c>
      <c r="F685" s="1859">
        <v>1</v>
      </c>
      <c r="G685" s="1872" t="s">
        <v>4475</v>
      </c>
      <c r="H685" s="1856">
        <v>1</v>
      </c>
      <c r="I685" s="1856" t="s">
        <v>3909</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4476</v>
      </c>
      <c r="D686" s="1858">
        <v>0</v>
      </c>
      <c r="E686" s="1858">
        <v>0</v>
      </c>
      <c r="F686" s="1859">
        <v>0</v>
      </c>
      <c r="G686" s="1872" t="s">
        <v>4476</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4477</v>
      </c>
      <c r="D687" s="1858">
        <v>0</v>
      </c>
      <c r="E687" s="1858">
        <v>0</v>
      </c>
      <c r="F687" s="1859">
        <v>0</v>
      </c>
      <c r="G687" s="1872" t="s">
        <v>4477</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4478</v>
      </c>
      <c r="D688" s="1858">
        <v>0</v>
      </c>
      <c r="E688" s="1858">
        <v>0</v>
      </c>
      <c r="F688" s="1859">
        <v>0</v>
      </c>
      <c r="G688" s="1872" t="s">
        <v>4478</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4479</v>
      </c>
      <c r="D689" s="1858">
        <v>0</v>
      </c>
      <c r="E689" s="1858">
        <v>1</v>
      </c>
      <c r="F689" s="1859">
        <v>1</v>
      </c>
      <c r="G689" s="1872" t="s">
        <v>4479</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4480</v>
      </c>
      <c r="D690" s="1858">
        <v>0</v>
      </c>
      <c r="E690" s="1858">
        <v>0</v>
      </c>
      <c r="F690" s="1859">
        <v>0</v>
      </c>
      <c r="G690" s="1872" t="s">
        <v>4480</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4481</v>
      </c>
      <c r="D691" s="1858">
        <v>0</v>
      </c>
      <c r="E691" s="1858">
        <v>0</v>
      </c>
      <c r="F691" s="1859">
        <v>0</v>
      </c>
      <c r="G691" s="1872" t="s">
        <v>4481</v>
      </c>
      <c r="H691" s="1856">
        <v>0</v>
      </c>
      <c r="I691" s="1856" t="s">
        <v>3909</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4482</v>
      </c>
      <c r="D692" s="1858" t="s">
        <v>3909</v>
      </c>
      <c r="E692" s="1858" t="s">
        <v>3909</v>
      </c>
      <c r="F692" s="1859">
        <v>0</v>
      </c>
      <c r="G692" s="1872" t="s">
        <v>4482</v>
      </c>
      <c r="H692" s="1856" t="s">
        <v>3909</v>
      </c>
      <c r="I692" s="1856" t="s">
        <v>3909</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4483</v>
      </c>
      <c r="D693" s="1858">
        <v>0</v>
      </c>
      <c r="E693" s="1858">
        <v>0</v>
      </c>
      <c r="F693" s="1859">
        <v>0</v>
      </c>
      <c r="G693" s="1872" t="s">
        <v>4483</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4484</v>
      </c>
      <c r="D694" s="1858">
        <v>0</v>
      </c>
      <c r="E694" s="1858">
        <v>0</v>
      </c>
      <c r="F694" s="1859">
        <v>0</v>
      </c>
      <c r="G694" s="1872" t="s">
        <v>4484</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4485</v>
      </c>
      <c r="D695" s="1858">
        <v>1</v>
      </c>
      <c r="E695" s="1858">
        <v>1</v>
      </c>
      <c r="F695" s="1859">
        <v>2</v>
      </c>
      <c r="G695" s="1872" t="s">
        <v>4485</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4486</v>
      </c>
      <c r="D696" s="1858">
        <v>1</v>
      </c>
      <c r="E696" s="1858">
        <v>1</v>
      </c>
      <c r="F696" s="1859">
        <v>2</v>
      </c>
      <c r="G696" s="1872" t="s">
        <v>4486</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4487</v>
      </c>
      <c r="D697" s="1858">
        <v>0</v>
      </c>
      <c r="E697" s="1858">
        <v>0</v>
      </c>
      <c r="F697" s="1859">
        <v>0</v>
      </c>
      <c r="G697" s="1872" t="s">
        <v>4487</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4488</v>
      </c>
      <c r="D698" s="1858">
        <v>0</v>
      </c>
      <c r="E698" s="1858">
        <v>0</v>
      </c>
      <c r="F698" s="1859">
        <v>0</v>
      </c>
      <c r="G698" s="1872" t="s">
        <v>4488</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4489</v>
      </c>
      <c r="D699" s="1858">
        <v>1</v>
      </c>
      <c r="E699" s="1858">
        <v>1</v>
      </c>
      <c r="F699" s="1859">
        <v>2</v>
      </c>
      <c r="G699" s="1872" t="s">
        <v>4489</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4490</v>
      </c>
      <c r="D700" s="1858">
        <v>1</v>
      </c>
      <c r="E700" s="1858">
        <v>1</v>
      </c>
      <c r="F700" s="1859">
        <v>2</v>
      </c>
      <c r="G700" s="1872" t="s">
        <v>4490</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4491</v>
      </c>
      <c r="D701" s="1858">
        <v>1</v>
      </c>
      <c r="E701" s="1858">
        <v>1</v>
      </c>
      <c r="F701" s="1859">
        <v>2</v>
      </c>
      <c r="G701" s="1872" t="s">
        <v>4491</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4492</v>
      </c>
      <c r="D702" s="1858">
        <v>1</v>
      </c>
      <c r="E702" s="1858">
        <v>1</v>
      </c>
      <c r="F702" s="1859">
        <v>2</v>
      </c>
      <c r="G702" s="1872" t="s">
        <v>4492</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4493</v>
      </c>
      <c r="D703" s="1858">
        <v>1</v>
      </c>
      <c r="E703" s="1858">
        <v>1</v>
      </c>
      <c r="F703" s="1859">
        <v>2</v>
      </c>
      <c r="G703" s="1872" t="s">
        <v>4493</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4494</v>
      </c>
      <c r="D704" s="1858">
        <v>1</v>
      </c>
      <c r="E704" s="1858">
        <v>1</v>
      </c>
      <c r="F704" s="1859">
        <v>2</v>
      </c>
      <c r="G704" s="1872" t="s">
        <v>4494</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4495</v>
      </c>
      <c r="D705" s="1858">
        <v>1</v>
      </c>
      <c r="E705" s="1858">
        <v>1</v>
      </c>
      <c r="F705" s="1859">
        <v>2</v>
      </c>
      <c r="G705" s="1872" t="s">
        <v>4495</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4496</v>
      </c>
      <c r="D706" s="1858">
        <v>1</v>
      </c>
      <c r="E706" s="1858">
        <v>1</v>
      </c>
      <c r="F706" s="1859">
        <v>2</v>
      </c>
      <c r="G706" s="1872" t="s">
        <v>4496</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4497</v>
      </c>
      <c r="D707" s="1858">
        <v>1</v>
      </c>
      <c r="E707" s="1858">
        <v>1</v>
      </c>
      <c r="F707" s="1859">
        <v>2</v>
      </c>
      <c r="G707" s="1872" t="s">
        <v>4497</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4498</v>
      </c>
      <c r="D708" s="1858">
        <v>1</v>
      </c>
      <c r="E708" s="1858">
        <v>1</v>
      </c>
      <c r="F708" s="1859">
        <v>2</v>
      </c>
      <c r="G708" s="1872" t="s">
        <v>4498</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4499</v>
      </c>
      <c r="D709" s="1858">
        <v>1</v>
      </c>
      <c r="E709" s="1858">
        <v>1</v>
      </c>
      <c r="F709" s="1859">
        <v>2</v>
      </c>
      <c r="G709" s="1872" t="s">
        <v>4499</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4500</v>
      </c>
      <c r="D710" s="1858">
        <v>1</v>
      </c>
      <c r="E710" s="1858">
        <v>1</v>
      </c>
      <c r="F710" s="1859">
        <v>2</v>
      </c>
      <c r="G710" s="1872" t="s">
        <v>4500</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4501</v>
      </c>
      <c r="D711" s="1858">
        <v>1</v>
      </c>
      <c r="E711" s="1858">
        <v>1</v>
      </c>
      <c r="F711" s="1859">
        <v>2</v>
      </c>
      <c r="G711" s="1872" t="s">
        <v>4501</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4502</v>
      </c>
      <c r="D712" s="1858">
        <v>0</v>
      </c>
      <c r="E712" s="1858">
        <v>1</v>
      </c>
      <c r="F712" s="1859">
        <v>1</v>
      </c>
      <c r="G712" s="1872" t="s">
        <v>4502</v>
      </c>
      <c r="H712" s="1856">
        <v>0</v>
      </c>
      <c r="I712" s="1856" t="s">
        <v>3909</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4503</v>
      </c>
      <c r="D713" s="1858">
        <v>1</v>
      </c>
      <c r="E713" s="1858">
        <v>1</v>
      </c>
      <c r="F713" s="1859">
        <v>2</v>
      </c>
      <c r="G713" s="1872" t="s">
        <v>4503</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4504</v>
      </c>
      <c r="D714" s="1858">
        <v>1</v>
      </c>
      <c r="E714" s="1858">
        <v>1</v>
      </c>
      <c r="F714" s="1859">
        <v>2</v>
      </c>
      <c r="G714" s="1872" t="s">
        <v>4504</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4505</v>
      </c>
      <c r="D715" s="1858">
        <v>1</v>
      </c>
      <c r="E715" s="1858">
        <v>1</v>
      </c>
      <c r="F715" s="1859">
        <v>2</v>
      </c>
      <c r="G715" s="1872" t="s">
        <v>4505</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4506</v>
      </c>
      <c r="D716" s="1858">
        <v>1</v>
      </c>
      <c r="E716" s="1858">
        <v>1</v>
      </c>
      <c r="F716" s="1859">
        <v>2</v>
      </c>
      <c r="G716" s="1872" t="s">
        <v>4506</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4507</v>
      </c>
      <c r="D717" s="1858">
        <v>1</v>
      </c>
      <c r="E717" s="1858">
        <v>1</v>
      </c>
      <c r="F717" s="1859">
        <v>2</v>
      </c>
      <c r="G717" s="1872" t="s">
        <v>4507</v>
      </c>
      <c r="H717" s="1856">
        <v>1</v>
      </c>
      <c r="I717" s="1856" t="s">
        <v>3909</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4508</v>
      </c>
      <c r="D718" s="1858">
        <v>1</v>
      </c>
      <c r="E718" s="1858">
        <v>1</v>
      </c>
      <c r="F718" s="1859">
        <v>2</v>
      </c>
      <c r="G718" s="1872" t="s">
        <v>4508</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4509</v>
      </c>
      <c r="D719" s="1858">
        <v>1</v>
      </c>
      <c r="E719" s="1858">
        <v>1</v>
      </c>
      <c r="F719" s="1859">
        <v>2</v>
      </c>
      <c r="G719" s="1872" t="s">
        <v>4509</v>
      </c>
      <c r="H719" s="1856">
        <v>1</v>
      </c>
      <c r="I719" s="1856" t="s">
        <v>3909</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4510</v>
      </c>
      <c r="D720" s="1858">
        <v>1</v>
      </c>
      <c r="E720" s="1858">
        <v>1</v>
      </c>
      <c r="F720" s="1859">
        <v>2</v>
      </c>
      <c r="G720" s="1872" t="s">
        <v>4510</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4511</v>
      </c>
      <c r="D721" s="1858">
        <v>1</v>
      </c>
      <c r="E721" s="1858">
        <v>1</v>
      </c>
      <c r="F721" s="1859">
        <v>2</v>
      </c>
      <c r="G721" s="1872" t="s">
        <v>4511</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4512</v>
      </c>
      <c r="D722" s="1858">
        <v>1</v>
      </c>
      <c r="E722" s="1858">
        <v>1</v>
      </c>
      <c r="F722" s="1859">
        <v>2</v>
      </c>
      <c r="G722" s="1872" t="s">
        <v>4512</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4513</v>
      </c>
      <c r="D723" s="1858">
        <v>1</v>
      </c>
      <c r="E723" s="1858">
        <v>1</v>
      </c>
      <c r="F723" s="1859">
        <v>2</v>
      </c>
      <c r="G723" s="1872" t="s">
        <v>4513</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4514</v>
      </c>
      <c r="D724" s="1858">
        <v>1</v>
      </c>
      <c r="E724" s="1858">
        <v>1</v>
      </c>
      <c r="F724" s="1859">
        <v>2</v>
      </c>
      <c r="G724" s="1872" t="s">
        <v>4514</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4515</v>
      </c>
      <c r="D725" s="1858">
        <v>1</v>
      </c>
      <c r="E725" s="1858">
        <v>1</v>
      </c>
      <c r="F725" s="1859">
        <v>2</v>
      </c>
      <c r="G725" s="1872" t="s">
        <v>4515</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4516</v>
      </c>
      <c r="D726" s="1858">
        <v>1</v>
      </c>
      <c r="E726" s="1858">
        <v>1</v>
      </c>
      <c r="F726" s="1859">
        <v>2</v>
      </c>
      <c r="G726" s="1872" t="s">
        <v>4516</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4517</v>
      </c>
      <c r="D727" s="1858">
        <v>1</v>
      </c>
      <c r="E727" s="1858">
        <v>1</v>
      </c>
      <c r="F727" s="1859">
        <v>2</v>
      </c>
      <c r="G727" s="1872" t="s">
        <v>4517</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4518</v>
      </c>
      <c r="D728" s="1858">
        <v>1</v>
      </c>
      <c r="E728" s="1858">
        <v>1</v>
      </c>
      <c r="F728" s="1859">
        <v>2</v>
      </c>
      <c r="G728" s="1872" t="s">
        <v>4518</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4519</v>
      </c>
      <c r="D729" s="1858">
        <v>1</v>
      </c>
      <c r="E729" s="1858">
        <v>1</v>
      </c>
      <c r="F729" s="1859">
        <v>2</v>
      </c>
      <c r="G729" s="1872" t="s">
        <v>4519</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4520</v>
      </c>
      <c r="D730" s="1858">
        <v>1</v>
      </c>
      <c r="E730" s="1858">
        <v>1</v>
      </c>
      <c r="F730" s="1859">
        <v>2</v>
      </c>
      <c r="G730" s="1872" t="s">
        <v>4520</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4521</v>
      </c>
      <c r="D731" s="1858">
        <v>1</v>
      </c>
      <c r="E731" s="1858">
        <v>1</v>
      </c>
      <c r="F731" s="1859">
        <v>2</v>
      </c>
      <c r="G731" s="1872" t="s">
        <v>4521</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4522</v>
      </c>
      <c r="D732" s="1858">
        <v>1</v>
      </c>
      <c r="E732" s="1858">
        <v>1</v>
      </c>
      <c r="F732" s="1859">
        <v>2</v>
      </c>
      <c r="G732" s="1872" t="s">
        <v>4522</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4523</v>
      </c>
      <c r="D733" s="1858">
        <v>1</v>
      </c>
      <c r="E733" s="1858">
        <v>1</v>
      </c>
      <c r="F733" s="1859">
        <v>2</v>
      </c>
      <c r="G733" s="1872" t="s">
        <v>4523</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4524</v>
      </c>
      <c r="D734" s="1858">
        <v>1</v>
      </c>
      <c r="E734" s="1858">
        <v>1</v>
      </c>
      <c r="F734" s="1859">
        <v>2</v>
      </c>
      <c r="G734" s="1872" t="s">
        <v>4524</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4525</v>
      </c>
      <c r="D735" s="1858">
        <v>1</v>
      </c>
      <c r="E735" s="1858">
        <v>1</v>
      </c>
      <c r="F735" s="1859">
        <v>2</v>
      </c>
      <c r="G735" s="1872" t="s">
        <v>4525</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4526</v>
      </c>
      <c r="D736" s="1858">
        <v>1</v>
      </c>
      <c r="E736" s="1858">
        <v>1</v>
      </c>
      <c r="F736" s="1859">
        <v>2</v>
      </c>
      <c r="G736" s="1872" t="s">
        <v>4526</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4527</v>
      </c>
      <c r="D737" s="1858">
        <v>1</v>
      </c>
      <c r="E737" s="1858">
        <v>1</v>
      </c>
      <c r="F737" s="1859">
        <v>2</v>
      </c>
      <c r="G737" s="1872" t="s">
        <v>4527</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4528</v>
      </c>
      <c r="D738" s="1858">
        <v>1</v>
      </c>
      <c r="E738" s="1858">
        <v>1</v>
      </c>
      <c r="F738" s="1859">
        <v>2</v>
      </c>
      <c r="G738" s="1872" t="s">
        <v>4528</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4529</v>
      </c>
      <c r="D739" s="1858">
        <v>1</v>
      </c>
      <c r="E739" s="1858">
        <v>1</v>
      </c>
      <c r="F739" s="1859">
        <v>2</v>
      </c>
      <c r="G739" s="1872" t="s">
        <v>4529</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4530</v>
      </c>
      <c r="D740" s="1858">
        <v>1</v>
      </c>
      <c r="E740" s="1858">
        <v>1</v>
      </c>
      <c r="F740" s="1859">
        <v>2</v>
      </c>
      <c r="G740" s="1872" t="s">
        <v>4530</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4531</v>
      </c>
      <c r="D741" s="1858">
        <v>1</v>
      </c>
      <c r="E741" s="1858">
        <v>1</v>
      </c>
      <c r="F741" s="1859">
        <v>2</v>
      </c>
      <c r="G741" s="1872" t="s">
        <v>4531</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4532</v>
      </c>
      <c r="D742" s="1858">
        <v>1</v>
      </c>
      <c r="E742" s="1858">
        <v>1</v>
      </c>
      <c r="F742" s="1859">
        <v>2</v>
      </c>
      <c r="G742" s="1872" t="s">
        <v>4532</v>
      </c>
      <c r="H742" s="1856">
        <v>1</v>
      </c>
      <c r="I742" s="1856" t="s">
        <v>3909</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4533</v>
      </c>
      <c r="D743" s="1858">
        <v>1</v>
      </c>
      <c r="E743" s="1858">
        <v>1</v>
      </c>
      <c r="F743" s="1859">
        <v>2</v>
      </c>
      <c r="G743" s="1872" t="s">
        <v>4533</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4534</v>
      </c>
      <c r="D744" s="1858">
        <v>1</v>
      </c>
      <c r="E744" s="1858">
        <v>1</v>
      </c>
      <c r="F744" s="1859">
        <v>2</v>
      </c>
      <c r="G744" s="1872" t="s">
        <v>4534</v>
      </c>
      <c r="H744" s="1856">
        <v>1</v>
      </c>
      <c r="I744" s="1856" t="s">
        <v>3909</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4535</v>
      </c>
      <c r="D745" s="1858">
        <v>1</v>
      </c>
      <c r="E745" s="1858">
        <v>1</v>
      </c>
      <c r="F745" s="1859">
        <v>2</v>
      </c>
      <c r="G745" s="1872" t="s">
        <v>4535</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4536</v>
      </c>
      <c r="D746" s="1858">
        <v>1</v>
      </c>
      <c r="E746" s="1858">
        <v>1</v>
      </c>
      <c r="F746" s="1859">
        <v>2</v>
      </c>
      <c r="G746" s="1872" t="s">
        <v>4536</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4537</v>
      </c>
      <c r="D747" s="1858">
        <v>1</v>
      </c>
      <c r="E747" s="1858">
        <v>1</v>
      </c>
      <c r="F747" s="1859">
        <v>2</v>
      </c>
      <c r="G747" s="1872" t="s">
        <v>4537</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4538</v>
      </c>
      <c r="D748" s="1858">
        <v>1</v>
      </c>
      <c r="E748" s="1858">
        <v>1</v>
      </c>
      <c r="F748" s="1859">
        <v>2</v>
      </c>
      <c r="G748" s="1872" t="s">
        <v>4538</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4539</v>
      </c>
      <c r="D749" s="1858">
        <v>1</v>
      </c>
      <c r="E749" s="1858">
        <v>1</v>
      </c>
      <c r="F749" s="1859">
        <v>2</v>
      </c>
      <c r="G749" s="1872" t="s">
        <v>4539</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4540</v>
      </c>
      <c r="D750" s="1858">
        <v>1</v>
      </c>
      <c r="E750" s="1858">
        <v>1</v>
      </c>
      <c r="F750" s="1859">
        <v>2</v>
      </c>
      <c r="G750" s="1872" t="s">
        <v>4540</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4541</v>
      </c>
      <c r="D751" s="1858">
        <v>1</v>
      </c>
      <c r="E751" s="1858">
        <v>0</v>
      </c>
      <c r="F751" s="1859">
        <v>1</v>
      </c>
      <c r="G751" s="1872" t="s">
        <v>4541</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4542</v>
      </c>
      <c r="D752" s="1858">
        <v>1</v>
      </c>
      <c r="E752" s="1858">
        <v>1</v>
      </c>
      <c r="F752" s="1859">
        <v>2</v>
      </c>
      <c r="G752" s="1872" t="s">
        <v>4542</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4543</v>
      </c>
      <c r="D753" s="1858">
        <v>1</v>
      </c>
      <c r="E753" s="1858">
        <v>1</v>
      </c>
      <c r="F753" s="1859">
        <v>2</v>
      </c>
      <c r="G753" s="1872" t="s">
        <v>4543</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4544</v>
      </c>
      <c r="D754" s="1858">
        <v>1</v>
      </c>
      <c r="E754" s="1858">
        <v>1</v>
      </c>
      <c r="F754" s="1859">
        <v>2</v>
      </c>
      <c r="G754" s="1872" t="s">
        <v>4544</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4545</v>
      </c>
      <c r="D755" s="1858">
        <v>1</v>
      </c>
      <c r="E755" s="1858">
        <v>1</v>
      </c>
      <c r="F755" s="1859">
        <v>2</v>
      </c>
      <c r="G755" s="1872" t="s">
        <v>4545</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4546</v>
      </c>
      <c r="D756" s="1858">
        <v>0</v>
      </c>
      <c r="E756" s="1858">
        <v>0</v>
      </c>
      <c r="F756" s="1859">
        <v>0</v>
      </c>
      <c r="G756" s="1872" t="s">
        <v>4546</v>
      </c>
      <c r="H756" s="1856">
        <v>0</v>
      </c>
      <c r="I756" s="1856" t="s">
        <v>3909</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4547</v>
      </c>
      <c r="D757" s="1858">
        <v>0</v>
      </c>
      <c r="E757" s="1858">
        <v>0</v>
      </c>
      <c r="F757" s="1859">
        <v>0</v>
      </c>
      <c r="G757" s="1872" t="s">
        <v>4547</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4548</v>
      </c>
      <c r="D758" s="1858">
        <v>0</v>
      </c>
      <c r="E758" s="1858">
        <v>0</v>
      </c>
      <c r="F758" s="1859">
        <v>0</v>
      </c>
      <c r="G758" s="1872" t="s">
        <v>4548</v>
      </c>
      <c r="H758" s="1856">
        <v>1</v>
      </c>
      <c r="I758" s="1856" t="s">
        <v>3909</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4549</v>
      </c>
      <c r="D759" s="1858">
        <v>0</v>
      </c>
      <c r="E759" s="1858">
        <v>0</v>
      </c>
      <c r="F759" s="1859">
        <v>0</v>
      </c>
      <c r="G759" s="1872" t="s">
        <v>4549</v>
      </c>
      <c r="H759" s="1856">
        <v>0</v>
      </c>
      <c r="I759" s="1856" t="s">
        <v>3909</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4550</v>
      </c>
      <c r="D760" s="1858">
        <v>1</v>
      </c>
      <c r="E760" s="1858">
        <v>1</v>
      </c>
      <c r="F760" s="1859">
        <v>2</v>
      </c>
      <c r="G760" s="1872" t="s">
        <v>4550</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4551</v>
      </c>
      <c r="D761" s="1858">
        <v>1</v>
      </c>
      <c r="E761" s="1858">
        <v>0</v>
      </c>
      <c r="F761" s="1859">
        <v>1</v>
      </c>
      <c r="G761" s="1872" t="s">
        <v>4551</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4552</v>
      </c>
      <c r="D762" s="1858">
        <v>1</v>
      </c>
      <c r="E762" s="1858">
        <v>0</v>
      </c>
      <c r="F762" s="1859">
        <v>1</v>
      </c>
      <c r="G762" s="1872" t="s">
        <v>4552</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4553</v>
      </c>
      <c r="D763" s="1858">
        <v>1</v>
      </c>
      <c r="E763" s="1858">
        <v>1</v>
      </c>
      <c r="F763" s="1859">
        <v>2</v>
      </c>
      <c r="G763" s="1872" t="s">
        <v>4553</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4554</v>
      </c>
      <c r="D764" s="1858">
        <v>1</v>
      </c>
      <c r="E764" s="1858">
        <v>1</v>
      </c>
      <c r="F764" s="1859">
        <v>2</v>
      </c>
      <c r="G764" s="1872" t="s">
        <v>4554</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4555</v>
      </c>
      <c r="D765" s="1858">
        <v>1</v>
      </c>
      <c r="E765" s="1858">
        <v>1</v>
      </c>
      <c r="F765" s="1859">
        <v>2</v>
      </c>
      <c r="G765" s="1872" t="s">
        <v>4555</v>
      </c>
      <c r="H765" s="1856">
        <v>1</v>
      </c>
      <c r="I765" s="1856" t="s">
        <v>3909</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4556</v>
      </c>
      <c r="D766" s="1858">
        <v>1</v>
      </c>
      <c r="E766" s="1858">
        <v>1</v>
      </c>
      <c r="F766" s="1859">
        <v>2</v>
      </c>
      <c r="G766" s="1872" t="s">
        <v>4556</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4557</v>
      </c>
      <c r="D767" s="1858">
        <v>1</v>
      </c>
      <c r="E767" s="1858">
        <v>0</v>
      </c>
      <c r="F767" s="1859">
        <v>1</v>
      </c>
      <c r="G767" s="1872" t="s">
        <v>4557</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4558</v>
      </c>
      <c r="D768" s="1858">
        <v>0</v>
      </c>
      <c r="E768" s="1858">
        <v>0</v>
      </c>
      <c r="F768" s="1859">
        <v>0</v>
      </c>
      <c r="G768" s="1872" t="s">
        <v>4558</v>
      </c>
      <c r="H768" s="1856">
        <v>0</v>
      </c>
      <c r="I768" s="1856" t="s">
        <v>3909</v>
      </c>
      <c r="J768" s="1873">
        <v>0</v>
      </c>
      <c r="K768" s="1860"/>
      <c r="L768" s="1854">
        <v>13067030800</v>
      </c>
      <c r="M768" s="1855">
        <v>0</v>
      </c>
      <c r="N768" s="1855">
        <v>0</v>
      </c>
      <c r="O768" s="1855">
        <v>0</v>
      </c>
      <c r="T768" s="457"/>
      <c r="U768" s="457"/>
      <c r="AA768" s="27"/>
      <c r="AB768" s="27"/>
      <c r="AC768" s="523"/>
      <c r="AD768" s="523"/>
    </row>
    <row r="769" spans="3:30" ht="13.5">
      <c r="C769" s="1861" t="s">
        <v>4559</v>
      </c>
      <c r="D769" s="1858">
        <v>1</v>
      </c>
      <c r="E769" s="1858">
        <v>1</v>
      </c>
      <c r="F769" s="1859">
        <v>2</v>
      </c>
      <c r="G769" s="1872" t="s">
        <v>4559</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4560</v>
      </c>
      <c r="D770" s="1858">
        <v>1</v>
      </c>
      <c r="E770" s="1858">
        <v>0</v>
      </c>
      <c r="F770" s="1859">
        <v>1</v>
      </c>
      <c r="G770" s="1872" t="s">
        <v>4560</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4561</v>
      </c>
      <c r="D771" s="1858">
        <v>0</v>
      </c>
      <c r="E771" s="1858">
        <v>0</v>
      </c>
      <c r="F771" s="1859">
        <v>0</v>
      </c>
      <c r="G771" s="1872" t="s">
        <v>4561</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4562</v>
      </c>
      <c r="D772" s="1858">
        <v>0</v>
      </c>
      <c r="E772" s="1858">
        <v>0</v>
      </c>
      <c r="F772" s="1859">
        <v>0</v>
      </c>
      <c r="G772" s="1872" t="s">
        <v>4562</v>
      </c>
      <c r="H772" s="1856">
        <v>0</v>
      </c>
      <c r="I772" s="1856">
        <v>0</v>
      </c>
      <c r="J772" s="1873">
        <v>0</v>
      </c>
      <c r="K772" s="1860"/>
      <c r="L772" s="1854">
        <v>13067030905</v>
      </c>
      <c r="M772" s="1855">
        <v>0</v>
      </c>
      <c r="N772" s="1855">
        <v>0</v>
      </c>
      <c r="O772" s="1855">
        <v>0</v>
      </c>
      <c r="AA772" s="27"/>
      <c r="AB772" s="27"/>
      <c r="AC772" s="523"/>
      <c r="AD772" s="523"/>
    </row>
    <row r="773" spans="3:30" ht="13.5">
      <c r="C773" s="1861" t="s">
        <v>4563</v>
      </c>
      <c r="D773" s="1858">
        <v>0</v>
      </c>
      <c r="E773" s="1858">
        <v>0</v>
      </c>
      <c r="F773" s="1859">
        <v>0</v>
      </c>
      <c r="G773" s="1872" t="s">
        <v>4563</v>
      </c>
      <c r="H773" s="1856">
        <v>0</v>
      </c>
      <c r="I773" s="1856">
        <v>0</v>
      </c>
      <c r="J773" s="1873">
        <v>0</v>
      </c>
      <c r="K773" s="1860"/>
      <c r="L773" s="1854">
        <v>13067031001</v>
      </c>
      <c r="M773" s="1855">
        <v>0</v>
      </c>
      <c r="N773" s="1855">
        <v>0</v>
      </c>
      <c r="O773" s="1855">
        <v>0</v>
      </c>
      <c r="AA773" s="27"/>
      <c r="AB773" s="27"/>
      <c r="AC773" s="523"/>
      <c r="AD773" s="523"/>
    </row>
    <row r="774" spans="3:30" ht="13.5">
      <c r="C774" s="1861" t="s">
        <v>4564</v>
      </c>
      <c r="D774" s="1858">
        <v>0</v>
      </c>
      <c r="E774" s="1858">
        <v>0</v>
      </c>
      <c r="F774" s="1859">
        <v>0</v>
      </c>
      <c r="G774" s="1872" t="s">
        <v>4564</v>
      </c>
      <c r="H774" s="1856">
        <v>0</v>
      </c>
      <c r="I774" s="1856">
        <v>0</v>
      </c>
      <c r="J774" s="1873">
        <v>0</v>
      </c>
      <c r="K774" s="1860"/>
      <c r="L774" s="1854">
        <v>13067031002</v>
      </c>
      <c r="M774" s="1855">
        <v>0</v>
      </c>
      <c r="N774" s="1855">
        <v>0</v>
      </c>
      <c r="O774" s="1855">
        <v>0</v>
      </c>
      <c r="AA774" s="27"/>
      <c r="AB774" s="27"/>
      <c r="AC774" s="523"/>
      <c r="AD774" s="523"/>
    </row>
    <row r="775" spans="3:30" ht="13.5">
      <c r="C775" s="1861" t="s">
        <v>4565</v>
      </c>
      <c r="D775" s="1858">
        <v>0</v>
      </c>
      <c r="E775" s="1858">
        <v>0</v>
      </c>
      <c r="F775" s="1859">
        <v>0</v>
      </c>
      <c r="G775" s="1872" t="s">
        <v>4565</v>
      </c>
      <c r="H775" s="1856">
        <v>0</v>
      </c>
      <c r="I775" s="1856">
        <v>0</v>
      </c>
      <c r="J775" s="1873">
        <v>0</v>
      </c>
      <c r="K775" s="1860"/>
      <c r="L775" s="1854">
        <v>13067031004</v>
      </c>
      <c r="M775" s="1855">
        <v>0</v>
      </c>
      <c r="N775" s="1855">
        <v>0</v>
      </c>
      <c r="O775" s="1855">
        <v>0</v>
      </c>
      <c r="AA775" s="27"/>
      <c r="AB775" s="27"/>
      <c r="AC775" s="523"/>
      <c r="AD775" s="523"/>
    </row>
    <row r="776" spans="3:30" ht="13.5">
      <c r="C776" s="1861" t="s">
        <v>4566</v>
      </c>
      <c r="D776" s="1858">
        <v>0</v>
      </c>
      <c r="E776" s="1858">
        <v>0</v>
      </c>
      <c r="F776" s="1859">
        <v>0</v>
      </c>
      <c r="G776" s="1872" t="s">
        <v>4566</v>
      </c>
      <c r="H776" s="1856">
        <v>0</v>
      </c>
      <c r="I776" s="1856">
        <v>0</v>
      </c>
      <c r="J776" s="1873">
        <v>0</v>
      </c>
      <c r="K776" s="1860"/>
      <c r="L776" s="1854">
        <v>13067031005</v>
      </c>
      <c r="M776" s="1855">
        <v>0</v>
      </c>
      <c r="N776" s="1855">
        <v>0</v>
      </c>
      <c r="O776" s="1855">
        <v>0</v>
      </c>
      <c r="AA776" s="27"/>
      <c r="AB776" s="27"/>
      <c r="AC776" s="523"/>
      <c r="AD776" s="523"/>
    </row>
    <row r="777" spans="3:30" ht="13.5">
      <c r="C777" s="1861" t="s">
        <v>4567</v>
      </c>
      <c r="D777" s="1858">
        <v>0</v>
      </c>
      <c r="E777" s="1858">
        <v>0</v>
      </c>
      <c r="F777" s="1859">
        <v>0</v>
      </c>
      <c r="G777" s="1872" t="s">
        <v>4567</v>
      </c>
      <c r="H777" s="1856">
        <v>0</v>
      </c>
      <c r="I777" s="1856">
        <v>0</v>
      </c>
      <c r="J777" s="1873">
        <v>0</v>
      </c>
      <c r="K777" s="1860"/>
      <c r="L777" s="1854">
        <v>13067031101</v>
      </c>
      <c r="M777" s="1855">
        <v>0</v>
      </c>
      <c r="N777" s="1855">
        <v>0</v>
      </c>
      <c r="O777" s="1855">
        <v>0</v>
      </c>
      <c r="AA777" s="27"/>
      <c r="AB777" s="27"/>
      <c r="AC777" s="523"/>
      <c r="AD777" s="523"/>
    </row>
    <row r="778" spans="3:30" ht="13.5">
      <c r="C778" s="1861" t="s">
        <v>4568</v>
      </c>
      <c r="D778" s="1858">
        <v>1</v>
      </c>
      <c r="E778" s="1858">
        <v>0</v>
      </c>
      <c r="F778" s="1859">
        <v>1</v>
      </c>
      <c r="G778" s="1872" t="s">
        <v>4568</v>
      </c>
      <c r="H778" s="1856">
        <v>1</v>
      </c>
      <c r="I778" s="1856">
        <v>1</v>
      </c>
      <c r="J778" s="1873">
        <v>2</v>
      </c>
      <c r="K778" s="1860"/>
      <c r="L778" s="1854">
        <v>13067031106</v>
      </c>
      <c r="M778" s="1855">
        <v>1</v>
      </c>
      <c r="N778" s="1855">
        <v>1</v>
      </c>
      <c r="O778" s="1855">
        <v>2</v>
      </c>
      <c r="AA778" s="27"/>
      <c r="AB778" s="27"/>
      <c r="AC778" s="523"/>
      <c r="AD778" s="523"/>
    </row>
    <row r="779" spans="3:30" ht="13.5">
      <c r="C779" s="1861" t="s">
        <v>4569</v>
      </c>
      <c r="D779" s="1858">
        <v>1</v>
      </c>
      <c r="E779" s="1858">
        <v>0</v>
      </c>
      <c r="F779" s="1859">
        <v>1</v>
      </c>
      <c r="G779" s="1872" t="s">
        <v>4569</v>
      </c>
      <c r="H779" s="1856">
        <v>1</v>
      </c>
      <c r="I779" s="1856">
        <v>1</v>
      </c>
      <c r="J779" s="1873">
        <v>2</v>
      </c>
      <c r="K779" s="1860"/>
      <c r="L779" s="1854">
        <v>13067031108</v>
      </c>
      <c r="M779" s="1855">
        <v>1</v>
      </c>
      <c r="N779" s="1855">
        <v>1</v>
      </c>
      <c r="O779" s="1855">
        <v>2</v>
      </c>
      <c r="AA779" s="27"/>
      <c r="AB779" s="27"/>
      <c r="AC779" s="523"/>
      <c r="AD779" s="523"/>
    </row>
    <row r="780" spans="3:30" ht="13.5">
      <c r="C780" s="1861" t="s">
        <v>4570</v>
      </c>
      <c r="D780" s="1858">
        <v>1</v>
      </c>
      <c r="E780" s="1858">
        <v>0</v>
      </c>
      <c r="F780" s="1859">
        <v>1</v>
      </c>
      <c r="G780" s="1872" t="s">
        <v>4570</v>
      </c>
      <c r="H780" s="1856">
        <v>1</v>
      </c>
      <c r="I780" s="1856">
        <v>0</v>
      </c>
      <c r="J780" s="1873">
        <v>1</v>
      </c>
      <c r="K780" s="1860"/>
      <c r="L780" s="1854">
        <v>13067031110</v>
      </c>
      <c r="M780" s="1855">
        <v>1</v>
      </c>
      <c r="N780" s="1855">
        <v>0</v>
      </c>
      <c r="O780" s="1855">
        <v>1</v>
      </c>
      <c r="AA780" s="27"/>
      <c r="AB780" s="27"/>
      <c r="AC780" s="523"/>
      <c r="AD780" s="523"/>
    </row>
    <row r="781" spans="3:30" ht="13.5">
      <c r="C781" s="1861" t="s">
        <v>4571</v>
      </c>
      <c r="D781" s="1858">
        <v>1</v>
      </c>
      <c r="E781" s="1858">
        <v>1</v>
      </c>
      <c r="F781" s="1859">
        <v>2</v>
      </c>
      <c r="G781" s="1872" t="s">
        <v>4571</v>
      </c>
      <c r="H781" s="1856">
        <v>1</v>
      </c>
      <c r="I781" s="1856">
        <v>1</v>
      </c>
      <c r="J781" s="1873">
        <v>2</v>
      </c>
      <c r="K781" s="1860"/>
      <c r="L781" s="1854">
        <v>13067031111</v>
      </c>
      <c r="M781" s="1855">
        <v>1</v>
      </c>
      <c r="N781" s="1855">
        <v>1</v>
      </c>
      <c r="O781" s="1855">
        <v>2</v>
      </c>
      <c r="AA781" s="27"/>
      <c r="AB781" s="27"/>
      <c r="AC781" s="523"/>
      <c r="AD781" s="523"/>
    </row>
    <row r="782" spans="3:30" ht="13.5">
      <c r="C782" s="1861" t="s">
        <v>4572</v>
      </c>
      <c r="D782" s="1858">
        <v>1</v>
      </c>
      <c r="E782" s="1858">
        <v>1</v>
      </c>
      <c r="F782" s="1859">
        <v>2</v>
      </c>
      <c r="G782" s="1872" t="s">
        <v>4572</v>
      </c>
      <c r="H782" s="1856">
        <v>1</v>
      </c>
      <c r="I782" s="1856">
        <v>1</v>
      </c>
      <c r="J782" s="1873">
        <v>2</v>
      </c>
      <c r="K782" s="1860"/>
      <c r="L782" s="1854">
        <v>13067031112</v>
      </c>
      <c r="M782" s="1855">
        <v>1</v>
      </c>
      <c r="N782" s="1855">
        <v>1</v>
      </c>
      <c r="O782" s="1855">
        <v>2</v>
      </c>
      <c r="AA782" s="27"/>
      <c r="AB782" s="27"/>
      <c r="AC782" s="523"/>
      <c r="AD782" s="523"/>
    </row>
    <row r="783" spans="3:30" ht="13.5">
      <c r="C783" s="1861" t="s">
        <v>4573</v>
      </c>
      <c r="D783" s="1858">
        <v>0</v>
      </c>
      <c r="E783" s="1858">
        <v>0</v>
      </c>
      <c r="F783" s="1859">
        <v>0</v>
      </c>
      <c r="G783" s="1872" t="s">
        <v>4573</v>
      </c>
      <c r="H783" s="1856">
        <v>1</v>
      </c>
      <c r="I783" s="1856" t="s">
        <v>3909</v>
      </c>
      <c r="J783" s="1873">
        <v>1</v>
      </c>
      <c r="K783" s="1860"/>
      <c r="L783" s="1854">
        <v>13067031113</v>
      </c>
      <c r="M783" s="1855">
        <v>1</v>
      </c>
      <c r="N783" s="1855">
        <v>0</v>
      </c>
      <c r="O783" s="1855">
        <v>1</v>
      </c>
      <c r="AA783" s="27"/>
      <c r="AB783" s="27"/>
      <c r="AC783" s="523"/>
      <c r="AD783" s="523"/>
    </row>
    <row r="784" spans="3:30" ht="13.5">
      <c r="C784" s="1861" t="s">
        <v>4574</v>
      </c>
      <c r="D784" s="1858">
        <v>0</v>
      </c>
      <c r="E784" s="1858">
        <v>0</v>
      </c>
      <c r="F784" s="1859">
        <v>0</v>
      </c>
      <c r="G784" s="1872" t="s">
        <v>4574</v>
      </c>
      <c r="H784" s="1856">
        <v>1</v>
      </c>
      <c r="I784" s="1856">
        <v>0</v>
      </c>
      <c r="J784" s="1873">
        <v>1</v>
      </c>
      <c r="K784" s="1860"/>
      <c r="L784" s="1854">
        <v>13067031114</v>
      </c>
      <c r="M784" s="1855">
        <v>1</v>
      </c>
      <c r="N784" s="1855">
        <v>0</v>
      </c>
      <c r="O784" s="1855">
        <v>1</v>
      </c>
      <c r="AA784" s="27"/>
      <c r="AB784" s="27"/>
      <c r="AC784" s="523"/>
      <c r="AD784" s="523"/>
    </row>
    <row r="785" spans="3:30" ht="13.5">
      <c r="C785" s="1861" t="s">
        <v>4575</v>
      </c>
      <c r="D785" s="1858">
        <v>1</v>
      </c>
      <c r="E785" s="1858">
        <v>0</v>
      </c>
      <c r="F785" s="1859">
        <v>1</v>
      </c>
      <c r="G785" s="1872" t="s">
        <v>4575</v>
      </c>
      <c r="H785" s="1856">
        <v>1</v>
      </c>
      <c r="I785" s="1856">
        <v>0</v>
      </c>
      <c r="J785" s="1873">
        <v>1</v>
      </c>
      <c r="K785" s="1860"/>
      <c r="L785" s="1854">
        <v>13067031115</v>
      </c>
      <c r="M785" s="1855">
        <v>1</v>
      </c>
      <c r="N785" s="1855">
        <v>0</v>
      </c>
      <c r="O785" s="1855">
        <v>1</v>
      </c>
      <c r="AA785" s="27"/>
      <c r="AB785" s="27"/>
      <c r="AC785" s="523"/>
      <c r="AD785" s="523"/>
    </row>
    <row r="786" spans="3:30" ht="13.5">
      <c r="C786" s="1861" t="s">
        <v>4576</v>
      </c>
      <c r="D786" s="1858">
        <v>0</v>
      </c>
      <c r="E786" s="1858">
        <v>0</v>
      </c>
      <c r="F786" s="1859">
        <v>0</v>
      </c>
      <c r="G786" s="1872" t="s">
        <v>4576</v>
      </c>
      <c r="H786" s="1856">
        <v>0</v>
      </c>
      <c r="I786" s="1856" t="s">
        <v>3909</v>
      </c>
      <c r="J786" s="1873">
        <v>0</v>
      </c>
      <c r="K786" s="1860"/>
      <c r="L786" s="1854">
        <v>13067031116</v>
      </c>
      <c r="M786" s="1855">
        <v>0</v>
      </c>
      <c r="N786" s="1855">
        <v>0</v>
      </c>
      <c r="O786" s="1855">
        <v>0</v>
      </c>
      <c r="AA786" s="27"/>
      <c r="AB786" s="27"/>
      <c r="AC786" s="523"/>
      <c r="AD786" s="523"/>
    </row>
    <row r="787" spans="3:30" ht="13.5">
      <c r="C787" s="1861" t="s">
        <v>4577</v>
      </c>
      <c r="D787" s="1858">
        <v>1</v>
      </c>
      <c r="E787" s="1858">
        <v>1</v>
      </c>
      <c r="F787" s="1859">
        <v>2</v>
      </c>
      <c r="G787" s="1872" t="s">
        <v>4577</v>
      </c>
      <c r="H787" s="1856">
        <v>1</v>
      </c>
      <c r="I787" s="1856">
        <v>1</v>
      </c>
      <c r="J787" s="1873">
        <v>2</v>
      </c>
      <c r="K787" s="1860"/>
      <c r="L787" s="1854">
        <v>13067031117</v>
      </c>
      <c r="M787" s="1855">
        <v>1</v>
      </c>
      <c r="N787" s="1855">
        <v>1</v>
      </c>
      <c r="O787" s="1855">
        <v>2</v>
      </c>
      <c r="AA787" s="27"/>
      <c r="AB787" s="27"/>
      <c r="AC787" s="523"/>
      <c r="AD787" s="523"/>
    </row>
    <row r="788" spans="3:30" ht="13.5">
      <c r="C788" s="1861" t="s">
        <v>4578</v>
      </c>
      <c r="D788" s="1858">
        <v>1</v>
      </c>
      <c r="E788" s="1858">
        <v>1</v>
      </c>
      <c r="F788" s="1859">
        <v>2</v>
      </c>
      <c r="G788" s="1872" t="s">
        <v>4578</v>
      </c>
      <c r="H788" s="1856">
        <v>1</v>
      </c>
      <c r="I788" s="1856">
        <v>1</v>
      </c>
      <c r="J788" s="1873">
        <v>2</v>
      </c>
      <c r="K788" s="1860"/>
      <c r="L788" s="1854">
        <v>13067031118</v>
      </c>
      <c r="M788" s="1855">
        <v>1</v>
      </c>
      <c r="N788" s="1855">
        <v>1</v>
      </c>
      <c r="O788" s="1855">
        <v>2</v>
      </c>
      <c r="AA788" s="27"/>
      <c r="AB788" s="27"/>
      <c r="AC788" s="523"/>
      <c r="AD788" s="523"/>
    </row>
    <row r="789" spans="3:30" ht="13.5">
      <c r="C789" s="1861" t="s">
        <v>4579</v>
      </c>
      <c r="D789" s="1858">
        <v>1</v>
      </c>
      <c r="E789" s="1858">
        <v>1</v>
      </c>
      <c r="F789" s="1859">
        <v>2</v>
      </c>
      <c r="G789" s="1872" t="s">
        <v>4579</v>
      </c>
      <c r="H789" s="1856">
        <v>1</v>
      </c>
      <c r="I789" s="1856">
        <v>1</v>
      </c>
      <c r="J789" s="1873">
        <v>2</v>
      </c>
      <c r="K789" s="1860"/>
      <c r="L789" s="1854">
        <v>13067031205</v>
      </c>
      <c r="M789" s="1855">
        <v>1</v>
      </c>
      <c r="N789" s="1855">
        <v>1</v>
      </c>
      <c r="O789" s="1855">
        <v>2</v>
      </c>
      <c r="AA789" s="27"/>
      <c r="AB789" s="27"/>
      <c r="AC789" s="523"/>
      <c r="AD789" s="523"/>
    </row>
    <row r="790" spans="3:30" ht="13.5">
      <c r="C790" s="1861" t="s">
        <v>4580</v>
      </c>
      <c r="D790" s="1858">
        <v>1</v>
      </c>
      <c r="E790" s="1858">
        <v>1</v>
      </c>
      <c r="F790" s="1859">
        <v>2</v>
      </c>
      <c r="G790" s="1872" t="s">
        <v>4580</v>
      </c>
      <c r="H790" s="1856">
        <v>1</v>
      </c>
      <c r="I790" s="1856">
        <v>1</v>
      </c>
      <c r="J790" s="1873">
        <v>2</v>
      </c>
      <c r="K790" s="1860"/>
      <c r="L790" s="1854">
        <v>13067031206</v>
      </c>
      <c r="M790" s="1855">
        <v>1</v>
      </c>
      <c r="N790" s="1855">
        <v>1</v>
      </c>
      <c r="O790" s="1855">
        <v>2</v>
      </c>
      <c r="AA790" s="27"/>
      <c r="AB790" s="27"/>
      <c r="AC790" s="523"/>
      <c r="AD790" s="523"/>
    </row>
    <row r="791" spans="3:30" ht="13.5">
      <c r="C791" s="1861" t="s">
        <v>4581</v>
      </c>
      <c r="D791" s="1858">
        <v>1</v>
      </c>
      <c r="E791" s="1858">
        <v>1</v>
      </c>
      <c r="F791" s="1859">
        <v>2</v>
      </c>
      <c r="G791" s="1872" t="s">
        <v>4581</v>
      </c>
      <c r="H791" s="1856">
        <v>1</v>
      </c>
      <c r="I791" s="1856" t="s">
        <v>3909</v>
      </c>
      <c r="J791" s="1873">
        <v>1</v>
      </c>
      <c r="K791" s="1860"/>
      <c r="L791" s="1854">
        <v>13067031207</v>
      </c>
      <c r="M791" s="1855">
        <v>1</v>
      </c>
      <c r="N791" s="1855">
        <v>1</v>
      </c>
      <c r="O791" s="1855">
        <v>2</v>
      </c>
      <c r="AA791" s="27"/>
      <c r="AB791" s="27"/>
      <c r="AC791" s="523"/>
      <c r="AD791" s="523"/>
    </row>
    <row r="792" spans="3:30" ht="13.5">
      <c r="C792" s="1861" t="s">
        <v>4582</v>
      </c>
      <c r="D792" s="1858">
        <v>1</v>
      </c>
      <c r="E792" s="1858">
        <v>1</v>
      </c>
      <c r="F792" s="1859">
        <v>2</v>
      </c>
      <c r="G792" s="1872" t="s">
        <v>4582</v>
      </c>
      <c r="H792" s="1856">
        <v>1</v>
      </c>
      <c r="I792" s="1856">
        <v>1</v>
      </c>
      <c r="J792" s="1873">
        <v>2</v>
      </c>
      <c r="K792" s="1860"/>
      <c r="L792" s="1854">
        <v>13067031208</v>
      </c>
      <c r="M792" s="1855">
        <v>1</v>
      </c>
      <c r="N792" s="1855">
        <v>1</v>
      </c>
      <c r="O792" s="1855">
        <v>2</v>
      </c>
      <c r="AA792" s="27"/>
      <c r="AB792" s="27"/>
      <c r="AC792" s="523"/>
      <c r="AD792" s="523"/>
    </row>
    <row r="793" spans="3:30" ht="13.5">
      <c r="C793" s="1861" t="s">
        <v>4583</v>
      </c>
      <c r="D793" s="1858">
        <v>1</v>
      </c>
      <c r="E793" s="1858">
        <v>1</v>
      </c>
      <c r="F793" s="1859">
        <v>2</v>
      </c>
      <c r="G793" s="1872" t="s">
        <v>4583</v>
      </c>
      <c r="H793" s="1856">
        <v>1</v>
      </c>
      <c r="I793" s="1856">
        <v>1</v>
      </c>
      <c r="J793" s="1873">
        <v>2</v>
      </c>
      <c r="K793" s="1860"/>
      <c r="L793" s="1854">
        <v>13067031209</v>
      </c>
      <c r="M793" s="1855">
        <v>1</v>
      </c>
      <c r="N793" s="1855">
        <v>1</v>
      </c>
      <c r="O793" s="1855">
        <v>2</v>
      </c>
      <c r="AA793" s="27"/>
      <c r="AB793" s="27"/>
      <c r="AC793" s="523"/>
      <c r="AD793" s="523"/>
    </row>
    <row r="794" spans="3:30" ht="13.5">
      <c r="C794" s="1861" t="s">
        <v>4584</v>
      </c>
      <c r="D794" s="1858">
        <v>1</v>
      </c>
      <c r="E794" s="1858">
        <v>1</v>
      </c>
      <c r="F794" s="1859">
        <v>2</v>
      </c>
      <c r="G794" s="1872" t="s">
        <v>4584</v>
      </c>
      <c r="H794" s="1856">
        <v>1</v>
      </c>
      <c r="I794" s="1856">
        <v>1</v>
      </c>
      <c r="J794" s="1873">
        <v>2</v>
      </c>
      <c r="K794" s="1860"/>
      <c r="L794" s="1854">
        <v>13067031211</v>
      </c>
      <c r="M794" s="1855">
        <v>1</v>
      </c>
      <c r="N794" s="1855">
        <v>1</v>
      </c>
      <c r="O794" s="1855">
        <v>2</v>
      </c>
      <c r="AA794" s="27"/>
      <c r="AB794" s="27"/>
      <c r="AC794" s="523"/>
      <c r="AD794" s="523"/>
    </row>
    <row r="795" spans="3:30" ht="13.5">
      <c r="C795" s="1861" t="s">
        <v>4585</v>
      </c>
      <c r="D795" s="1858">
        <v>1</v>
      </c>
      <c r="E795" s="1858">
        <v>1</v>
      </c>
      <c r="F795" s="1859">
        <v>2</v>
      </c>
      <c r="G795" s="1872" t="s">
        <v>4585</v>
      </c>
      <c r="H795" s="1856">
        <v>1</v>
      </c>
      <c r="I795" s="1856">
        <v>1</v>
      </c>
      <c r="J795" s="1873">
        <v>2</v>
      </c>
      <c r="K795" s="1860"/>
      <c r="L795" s="1854">
        <v>13067031212</v>
      </c>
      <c r="M795" s="1855">
        <v>1</v>
      </c>
      <c r="N795" s="1855">
        <v>1</v>
      </c>
      <c r="O795" s="1855">
        <v>2</v>
      </c>
      <c r="AA795" s="27"/>
      <c r="AB795" s="27"/>
      <c r="AC795" s="523"/>
      <c r="AD795" s="523"/>
    </row>
    <row r="796" spans="3:30" ht="13.5">
      <c r="C796" s="1861" t="s">
        <v>4586</v>
      </c>
      <c r="D796" s="1858">
        <v>1</v>
      </c>
      <c r="E796" s="1858">
        <v>0</v>
      </c>
      <c r="F796" s="1859">
        <v>1</v>
      </c>
      <c r="G796" s="1872" t="s">
        <v>4586</v>
      </c>
      <c r="H796" s="1856">
        <v>1</v>
      </c>
      <c r="I796" s="1856">
        <v>0</v>
      </c>
      <c r="J796" s="1873">
        <v>1</v>
      </c>
      <c r="K796" s="1860"/>
      <c r="L796" s="1854">
        <v>13067031306</v>
      </c>
      <c r="M796" s="1855">
        <v>1</v>
      </c>
      <c r="N796" s="1855">
        <v>0</v>
      </c>
      <c r="O796" s="1855">
        <v>1</v>
      </c>
      <c r="AA796" s="27"/>
      <c r="AB796" s="27"/>
      <c r="AC796" s="523"/>
      <c r="AD796" s="523"/>
    </row>
    <row r="797" spans="3:30" ht="13.5">
      <c r="C797" s="1861" t="s">
        <v>4587</v>
      </c>
      <c r="D797" s="1858">
        <v>1</v>
      </c>
      <c r="E797" s="1858">
        <v>1</v>
      </c>
      <c r="F797" s="1859">
        <v>2</v>
      </c>
      <c r="G797" s="1872" t="s">
        <v>4587</v>
      </c>
      <c r="H797" s="1856">
        <v>1</v>
      </c>
      <c r="I797" s="1856">
        <v>1</v>
      </c>
      <c r="J797" s="1873">
        <v>2</v>
      </c>
      <c r="K797" s="1860"/>
      <c r="L797" s="1854">
        <v>13067031307</v>
      </c>
      <c r="M797" s="1855">
        <v>1</v>
      </c>
      <c r="N797" s="1855">
        <v>1</v>
      </c>
      <c r="O797" s="1855">
        <v>2</v>
      </c>
      <c r="AA797" s="27"/>
      <c r="AB797" s="27"/>
      <c r="AC797" s="523"/>
      <c r="AD797" s="523"/>
    </row>
    <row r="798" spans="3:30" ht="13.5">
      <c r="C798" s="1861" t="s">
        <v>4588</v>
      </c>
      <c r="D798" s="1858">
        <v>0</v>
      </c>
      <c r="E798" s="1858">
        <v>0</v>
      </c>
      <c r="F798" s="1859">
        <v>0</v>
      </c>
      <c r="G798" s="1872" t="s">
        <v>4588</v>
      </c>
      <c r="H798" s="1856">
        <v>0</v>
      </c>
      <c r="I798" s="1856">
        <v>0</v>
      </c>
      <c r="J798" s="1873">
        <v>0</v>
      </c>
      <c r="K798" s="1860"/>
      <c r="L798" s="1854">
        <v>13067031308</v>
      </c>
      <c r="M798" s="1855">
        <v>0</v>
      </c>
      <c r="N798" s="1855">
        <v>0</v>
      </c>
      <c r="O798" s="1855">
        <v>0</v>
      </c>
      <c r="AA798" s="27"/>
      <c r="AB798" s="27"/>
      <c r="AC798" s="523"/>
      <c r="AD798" s="523"/>
    </row>
    <row r="799" spans="3:30" ht="13.5">
      <c r="C799" s="1861" t="s">
        <v>4589</v>
      </c>
      <c r="D799" s="1858">
        <v>0</v>
      </c>
      <c r="E799" s="1858">
        <v>0</v>
      </c>
      <c r="F799" s="1859">
        <v>0</v>
      </c>
      <c r="G799" s="1872" t="s">
        <v>4589</v>
      </c>
      <c r="H799" s="1856">
        <v>1</v>
      </c>
      <c r="I799" s="1856">
        <v>0</v>
      </c>
      <c r="J799" s="1873">
        <v>1</v>
      </c>
      <c r="K799" s="1860"/>
      <c r="L799" s="1854">
        <v>13067031309</v>
      </c>
      <c r="M799" s="1855">
        <v>1</v>
      </c>
      <c r="N799" s="1855">
        <v>0</v>
      </c>
      <c r="O799" s="1855">
        <v>1</v>
      </c>
      <c r="AA799" s="27"/>
      <c r="AB799" s="27"/>
      <c r="AC799" s="523"/>
      <c r="AD799" s="523"/>
    </row>
    <row r="800" spans="3:30" ht="13.5">
      <c r="C800" s="1861" t="s">
        <v>4590</v>
      </c>
      <c r="D800" s="1858">
        <v>0</v>
      </c>
      <c r="E800" s="1858">
        <v>0</v>
      </c>
      <c r="F800" s="1859">
        <v>0</v>
      </c>
      <c r="G800" s="1872" t="s">
        <v>4590</v>
      </c>
      <c r="H800" s="1856">
        <v>0</v>
      </c>
      <c r="I800" s="1856">
        <v>0</v>
      </c>
      <c r="J800" s="1873">
        <v>0</v>
      </c>
      <c r="K800" s="1860"/>
      <c r="L800" s="1854">
        <v>13067031310</v>
      </c>
      <c r="M800" s="1855">
        <v>0</v>
      </c>
      <c r="N800" s="1855">
        <v>0</v>
      </c>
      <c r="O800" s="1855">
        <v>0</v>
      </c>
      <c r="AA800" s="27"/>
      <c r="AC800" s="523"/>
    </row>
    <row r="801" spans="3:29" ht="13.5">
      <c r="C801" s="1861" t="s">
        <v>4591</v>
      </c>
      <c r="D801" s="1858">
        <v>0</v>
      </c>
      <c r="E801" s="1858">
        <v>0</v>
      </c>
      <c r="F801" s="1859">
        <v>0</v>
      </c>
      <c r="G801" s="1872" t="s">
        <v>4591</v>
      </c>
      <c r="H801" s="1856">
        <v>0</v>
      </c>
      <c r="I801" s="1856">
        <v>0</v>
      </c>
      <c r="J801" s="1873">
        <v>0</v>
      </c>
      <c r="K801" s="1860"/>
      <c r="L801" s="1854">
        <v>13067031311</v>
      </c>
      <c r="M801" s="1855">
        <v>0</v>
      </c>
      <c r="N801" s="1855">
        <v>0</v>
      </c>
      <c r="O801" s="1855">
        <v>0</v>
      </c>
      <c r="AA801" s="27"/>
      <c r="AC801" s="523"/>
    </row>
    <row r="802" spans="3:29" ht="13.5">
      <c r="C802" s="1861" t="s">
        <v>4592</v>
      </c>
      <c r="D802" s="1858">
        <v>1</v>
      </c>
      <c r="E802" s="1858">
        <v>1</v>
      </c>
      <c r="F802" s="1859">
        <v>2</v>
      </c>
      <c r="G802" s="1872" t="s">
        <v>4592</v>
      </c>
      <c r="H802" s="1856">
        <v>1</v>
      </c>
      <c r="I802" s="1856">
        <v>1</v>
      </c>
      <c r="J802" s="1873">
        <v>2</v>
      </c>
      <c r="K802" s="1860"/>
      <c r="L802" s="1854">
        <v>13067031312</v>
      </c>
      <c r="M802" s="1855">
        <v>1</v>
      </c>
      <c r="N802" s="1855">
        <v>1</v>
      </c>
      <c r="O802" s="1855">
        <v>2</v>
      </c>
      <c r="AA802" s="27"/>
      <c r="AC802" s="523"/>
    </row>
    <row r="803" spans="3:29" ht="13.5">
      <c r="C803" s="1861" t="s">
        <v>4593</v>
      </c>
      <c r="D803" s="1858">
        <v>1</v>
      </c>
      <c r="E803" s="1858">
        <v>1</v>
      </c>
      <c r="F803" s="1859">
        <v>2</v>
      </c>
      <c r="G803" s="1872" t="s">
        <v>4593</v>
      </c>
      <c r="H803" s="1856">
        <v>1</v>
      </c>
      <c r="I803" s="1856">
        <v>1</v>
      </c>
      <c r="J803" s="1873">
        <v>2</v>
      </c>
      <c r="K803" s="1860"/>
      <c r="L803" s="1854">
        <v>13067031313</v>
      </c>
      <c r="M803" s="1855">
        <v>1</v>
      </c>
      <c r="N803" s="1855">
        <v>1</v>
      </c>
      <c r="O803" s="1855">
        <v>2</v>
      </c>
      <c r="AA803" s="27"/>
      <c r="AC803" s="523"/>
    </row>
    <row r="804" spans="3:29" ht="13.5">
      <c r="C804" s="1861" t="s">
        <v>4594</v>
      </c>
      <c r="D804" s="1858">
        <v>1</v>
      </c>
      <c r="E804" s="1858">
        <v>1</v>
      </c>
      <c r="F804" s="1859">
        <v>2</v>
      </c>
      <c r="G804" s="1872" t="s">
        <v>4594</v>
      </c>
      <c r="H804" s="1856">
        <v>1</v>
      </c>
      <c r="I804" s="1856">
        <v>1</v>
      </c>
      <c r="J804" s="1873">
        <v>2</v>
      </c>
      <c r="K804" s="1860"/>
      <c r="L804" s="1854">
        <v>13067031404</v>
      </c>
      <c r="M804" s="1855">
        <v>1</v>
      </c>
      <c r="N804" s="1855">
        <v>1</v>
      </c>
      <c r="O804" s="1855">
        <v>2</v>
      </c>
      <c r="AA804" s="27"/>
      <c r="AC804" s="523"/>
    </row>
    <row r="805" spans="3:29" ht="13.5">
      <c r="C805" s="1861" t="s">
        <v>4595</v>
      </c>
      <c r="D805" s="1858">
        <v>0</v>
      </c>
      <c r="E805" s="1858">
        <v>1</v>
      </c>
      <c r="F805" s="1859">
        <v>1</v>
      </c>
      <c r="G805" s="1872" t="s">
        <v>4595</v>
      </c>
      <c r="H805" s="1856">
        <v>1</v>
      </c>
      <c r="I805" s="1856">
        <v>0</v>
      </c>
      <c r="J805" s="1873">
        <v>1</v>
      </c>
      <c r="K805" s="1860"/>
      <c r="L805" s="1854">
        <v>13067031405</v>
      </c>
      <c r="M805" s="1855">
        <v>1</v>
      </c>
      <c r="N805" s="1855">
        <v>1</v>
      </c>
      <c r="O805" s="1855">
        <v>1</v>
      </c>
      <c r="AA805" s="27"/>
      <c r="AC805" s="523"/>
    </row>
    <row r="806" spans="3:29" ht="13.5">
      <c r="C806" s="1861" t="s">
        <v>4596</v>
      </c>
      <c r="D806" s="1858">
        <v>0</v>
      </c>
      <c r="E806" s="1858">
        <v>0</v>
      </c>
      <c r="F806" s="1859">
        <v>0</v>
      </c>
      <c r="G806" s="1872" t="s">
        <v>4596</v>
      </c>
      <c r="H806" s="1856">
        <v>0</v>
      </c>
      <c r="I806" s="1856">
        <v>0</v>
      </c>
      <c r="J806" s="1873">
        <v>0</v>
      </c>
      <c r="K806" s="1860"/>
      <c r="L806" s="1854">
        <v>13067031406</v>
      </c>
      <c r="M806" s="1855">
        <v>0</v>
      </c>
      <c r="N806" s="1855">
        <v>0</v>
      </c>
      <c r="O806" s="1855">
        <v>0</v>
      </c>
      <c r="AA806" s="27"/>
      <c r="AC806" s="523"/>
    </row>
    <row r="807" spans="3:29" ht="13.5">
      <c r="C807" s="1861" t="s">
        <v>4597</v>
      </c>
      <c r="D807" s="1858">
        <v>0</v>
      </c>
      <c r="E807" s="1858">
        <v>0</v>
      </c>
      <c r="F807" s="1859">
        <v>0</v>
      </c>
      <c r="G807" s="1872" t="s">
        <v>4597</v>
      </c>
      <c r="H807" s="1856">
        <v>1</v>
      </c>
      <c r="I807" s="1856">
        <v>0</v>
      </c>
      <c r="J807" s="1873">
        <v>0</v>
      </c>
      <c r="K807" s="1860"/>
      <c r="L807" s="1854">
        <v>13067031408</v>
      </c>
      <c r="M807" s="1855">
        <v>1</v>
      </c>
      <c r="N807" s="1855">
        <v>0</v>
      </c>
      <c r="O807" s="1855">
        <v>0</v>
      </c>
      <c r="AA807" s="27"/>
      <c r="AC807" s="523"/>
    </row>
    <row r="808" spans="3:29" ht="13.5">
      <c r="C808" s="1861" t="s">
        <v>4598</v>
      </c>
      <c r="D808" s="1858">
        <v>0</v>
      </c>
      <c r="E808" s="1858">
        <v>0</v>
      </c>
      <c r="F808" s="1859">
        <v>0</v>
      </c>
      <c r="G808" s="1872" t="s">
        <v>4598</v>
      </c>
      <c r="H808" s="1856">
        <v>0</v>
      </c>
      <c r="I808" s="1856">
        <v>0</v>
      </c>
      <c r="J808" s="1873">
        <v>0</v>
      </c>
      <c r="K808" s="1860"/>
      <c r="L808" s="1854">
        <v>13067031409</v>
      </c>
      <c r="M808" s="1855">
        <v>0</v>
      </c>
      <c r="N808" s="1855">
        <v>0</v>
      </c>
      <c r="O808" s="1855">
        <v>0</v>
      </c>
      <c r="AA808" s="27"/>
      <c r="AC808" s="523"/>
    </row>
    <row r="809" spans="3:29" ht="13.5">
      <c r="C809" s="1861" t="s">
        <v>4599</v>
      </c>
      <c r="D809" s="1858">
        <v>1</v>
      </c>
      <c r="E809" s="1858">
        <v>0</v>
      </c>
      <c r="F809" s="1859">
        <v>1</v>
      </c>
      <c r="G809" s="1872" t="s">
        <v>4599</v>
      </c>
      <c r="H809" s="1856">
        <v>1</v>
      </c>
      <c r="I809" s="1856">
        <v>1</v>
      </c>
      <c r="J809" s="1873">
        <v>2</v>
      </c>
      <c r="K809" s="1860"/>
      <c r="L809" s="1854">
        <v>13067031503</v>
      </c>
      <c r="M809" s="1855">
        <v>1</v>
      </c>
      <c r="N809" s="1855">
        <v>1</v>
      </c>
      <c r="O809" s="1855">
        <v>2</v>
      </c>
      <c r="AA809" s="27"/>
      <c r="AC809" s="523"/>
    </row>
    <row r="810" spans="3:29" ht="13.5">
      <c r="C810" s="1861" t="s">
        <v>4600</v>
      </c>
      <c r="D810" s="1858">
        <v>1</v>
      </c>
      <c r="E810" s="1858">
        <v>1</v>
      </c>
      <c r="F810" s="1859">
        <v>2</v>
      </c>
      <c r="G810" s="1872" t="s">
        <v>4600</v>
      </c>
      <c r="H810" s="1856">
        <v>1</v>
      </c>
      <c r="I810" s="1856">
        <v>1</v>
      </c>
      <c r="J810" s="1873">
        <v>2</v>
      </c>
      <c r="K810" s="1860"/>
      <c r="L810" s="1854">
        <v>13067031505</v>
      </c>
      <c r="M810" s="1855">
        <v>1</v>
      </c>
      <c r="N810" s="1855">
        <v>1</v>
      </c>
      <c r="O810" s="1855">
        <v>2</v>
      </c>
      <c r="AA810" s="27"/>
      <c r="AC810" s="523"/>
    </row>
    <row r="811" spans="3:29" ht="13.5">
      <c r="C811" s="1861" t="s">
        <v>4601</v>
      </c>
      <c r="D811" s="1858">
        <v>0</v>
      </c>
      <c r="E811" s="1858">
        <v>1</v>
      </c>
      <c r="F811" s="1859">
        <v>1</v>
      </c>
      <c r="G811" s="1872" t="s">
        <v>4601</v>
      </c>
      <c r="H811" s="1856">
        <v>0</v>
      </c>
      <c r="I811" s="1856">
        <v>0</v>
      </c>
      <c r="J811" s="1873">
        <v>0</v>
      </c>
      <c r="K811" s="1860"/>
      <c r="L811" s="1854">
        <v>13067031506</v>
      </c>
      <c r="M811" s="1855">
        <v>0</v>
      </c>
      <c r="N811" s="1855">
        <v>1</v>
      </c>
      <c r="O811" s="1855">
        <v>1</v>
      </c>
      <c r="AA811" s="27"/>
      <c r="AC811" s="523"/>
    </row>
    <row r="812" spans="3:29" ht="13.5">
      <c r="C812" s="1861" t="s">
        <v>4602</v>
      </c>
      <c r="D812" s="1858">
        <v>0</v>
      </c>
      <c r="E812" s="1858">
        <v>0</v>
      </c>
      <c r="F812" s="1859">
        <v>0</v>
      </c>
      <c r="G812" s="1872" t="s">
        <v>4602</v>
      </c>
      <c r="H812" s="1856">
        <v>0</v>
      </c>
      <c r="I812" s="1856">
        <v>1</v>
      </c>
      <c r="J812" s="1873">
        <v>1</v>
      </c>
      <c r="K812" s="1860"/>
      <c r="L812" s="1854">
        <v>13067031507</v>
      </c>
      <c r="M812" s="1855">
        <v>0</v>
      </c>
      <c r="N812" s="1855">
        <v>1</v>
      </c>
      <c r="O812" s="1855">
        <v>1</v>
      </c>
      <c r="AA812" s="27"/>
      <c r="AC812" s="523"/>
    </row>
    <row r="813" spans="3:29" ht="13.5">
      <c r="C813" s="1861" t="s">
        <v>4603</v>
      </c>
      <c r="D813" s="1858">
        <v>1</v>
      </c>
      <c r="E813" s="1858">
        <v>1</v>
      </c>
      <c r="F813" s="1859">
        <v>2</v>
      </c>
      <c r="G813" s="1872" t="s">
        <v>4603</v>
      </c>
      <c r="H813" s="1856">
        <v>1</v>
      </c>
      <c r="I813" s="1856">
        <v>1</v>
      </c>
      <c r="J813" s="1873">
        <v>2</v>
      </c>
      <c r="K813" s="1860"/>
      <c r="L813" s="1854">
        <v>13067031508</v>
      </c>
      <c r="M813" s="1855">
        <v>1</v>
      </c>
      <c r="N813" s="1855">
        <v>1</v>
      </c>
      <c r="O813" s="1855">
        <v>2</v>
      </c>
      <c r="AA813" s="27"/>
      <c r="AC813" s="523"/>
    </row>
    <row r="814" spans="3:29" ht="13.5">
      <c r="C814" s="1861" t="s">
        <v>4604</v>
      </c>
      <c r="D814" s="1858">
        <v>1</v>
      </c>
      <c r="E814" s="1858">
        <v>1</v>
      </c>
      <c r="F814" s="1859">
        <v>2</v>
      </c>
      <c r="G814" s="1872" t="s">
        <v>4604</v>
      </c>
      <c r="H814" s="1856">
        <v>1</v>
      </c>
      <c r="I814" s="1856">
        <v>1</v>
      </c>
      <c r="J814" s="1873">
        <v>2</v>
      </c>
      <c r="K814" s="1860"/>
      <c r="L814" s="1854">
        <v>13067031509</v>
      </c>
      <c r="M814" s="1855">
        <v>1</v>
      </c>
      <c r="N814" s="1855">
        <v>1</v>
      </c>
      <c r="O814" s="1855">
        <v>2</v>
      </c>
      <c r="AA814" s="27"/>
      <c r="AC814" s="523"/>
    </row>
    <row r="815" spans="3:29" ht="13.5">
      <c r="C815" s="1861" t="s">
        <v>4605</v>
      </c>
      <c r="D815" s="1858">
        <v>0</v>
      </c>
      <c r="E815" s="1858">
        <v>0</v>
      </c>
      <c r="F815" s="1859">
        <v>0</v>
      </c>
      <c r="G815" s="1872" t="s">
        <v>4605</v>
      </c>
      <c r="H815" s="1856">
        <v>0</v>
      </c>
      <c r="I815" s="1856">
        <v>0</v>
      </c>
      <c r="J815" s="1873">
        <v>0</v>
      </c>
      <c r="K815" s="1860"/>
      <c r="L815" s="1854">
        <v>13069010100</v>
      </c>
      <c r="M815" s="1855">
        <v>0</v>
      </c>
      <c r="N815" s="1855">
        <v>0</v>
      </c>
      <c r="O815" s="1855">
        <v>0</v>
      </c>
      <c r="AA815" s="27"/>
      <c r="AC815" s="523"/>
    </row>
    <row r="816" spans="3:29" ht="13.5">
      <c r="C816" s="1861" t="s">
        <v>4606</v>
      </c>
      <c r="D816" s="1858">
        <v>0</v>
      </c>
      <c r="E816" s="1858">
        <v>0</v>
      </c>
      <c r="F816" s="1859">
        <v>0</v>
      </c>
      <c r="G816" s="1872" t="s">
        <v>4606</v>
      </c>
      <c r="H816" s="1856">
        <v>0</v>
      </c>
      <c r="I816" s="1856" t="s">
        <v>3909</v>
      </c>
      <c r="J816" s="1873">
        <v>0</v>
      </c>
      <c r="K816" s="1860"/>
      <c r="L816" s="1854">
        <v>13069010200</v>
      </c>
      <c r="M816" s="1855">
        <v>0</v>
      </c>
      <c r="N816" s="1855">
        <v>0</v>
      </c>
      <c r="O816" s="1855">
        <v>0</v>
      </c>
      <c r="AA816" s="27"/>
      <c r="AC816" s="523"/>
    </row>
    <row r="817" spans="3:29" ht="13.5">
      <c r="C817" s="1861" t="s">
        <v>4607</v>
      </c>
      <c r="D817" s="1858">
        <v>0</v>
      </c>
      <c r="E817" s="1858">
        <v>0</v>
      </c>
      <c r="F817" s="1859">
        <v>0</v>
      </c>
      <c r="G817" s="1872" t="s">
        <v>4607</v>
      </c>
      <c r="H817" s="1856">
        <v>0</v>
      </c>
      <c r="I817" s="1856">
        <v>0</v>
      </c>
      <c r="J817" s="1873">
        <v>0</v>
      </c>
      <c r="K817" s="1860"/>
      <c r="L817" s="1854">
        <v>13069010300</v>
      </c>
      <c r="M817" s="1855">
        <v>0</v>
      </c>
      <c r="N817" s="1855">
        <v>0</v>
      </c>
      <c r="O817" s="1855">
        <v>0</v>
      </c>
      <c r="AA817" s="27"/>
      <c r="AC817" s="523"/>
    </row>
    <row r="818" spans="3:29" ht="13.5">
      <c r="C818" s="1861" t="s">
        <v>4608</v>
      </c>
      <c r="D818" s="1858">
        <v>0</v>
      </c>
      <c r="E818" s="1858">
        <v>0</v>
      </c>
      <c r="F818" s="1859">
        <v>0</v>
      </c>
      <c r="G818" s="1872" t="s">
        <v>4608</v>
      </c>
      <c r="H818" s="1856">
        <v>0</v>
      </c>
      <c r="I818" s="1856">
        <v>0</v>
      </c>
      <c r="J818" s="1873">
        <v>0</v>
      </c>
      <c r="K818" s="1860"/>
      <c r="L818" s="1854">
        <v>13069010400</v>
      </c>
      <c r="M818" s="1855">
        <v>0</v>
      </c>
      <c r="N818" s="1855">
        <v>0</v>
      </c>
      <c r="O818" s="1855">
        <v>0</v>
      </c>
      <c r="AA818" s="27"/>
      <c r="AC818" s="523"/>
    </row>
    <row r="819" spans="3:29" ht="13.5">
      <c r="C819" s="1861" t="s">
        <v>4609</v>
      </c>
      <c r="D819" s="1858">
        <v>0</v>
      </c>
      <c r="E819" s="1858">
        <v>0</v>
      </c>
      <c r="F819" s="1859">
        <v>0</v>
      </c>
      <c r="G819" s="1872" t="s">
        <v>4609</v>
      </c>
      <c r="H819" s="1856">
        <v>0</v>
      </c>
      <c r="I819" s="1856">
        <v>0</v>
      </c>
      <c r="J819" s="1873">
        <v>0</v>
      </c>
      <c r="K819" s="1860"/>
      <c r="L819" s="1854">
        <v>13069010500</v>
      </c>
      <c r="M819" s="1855">
        <v>0</v>
      </c>
      <c r="N819" s="1855">
        <v>0</v>
      </c>
      <c r="O819" s="1855">
        <v>0</v>
      </c>
      <c r="AA819" s="27"/>
      <c r="AC819" s="523"/>
    </row>
    <row r="820" spans="3:29" ht="13.5">
      <c r="C820" s="1861" t="s">
        <v>4610</v>
      </c>
      <c r="D820" s="1858">
        <v>1</v>
      </c>
      <c r="E820" s="1858">
        <v>1</v>
      </c>
      <c r="F820" s="1859">
        <v>2</v>
      </c>
      <c r="G820" s="1872" t="s">
        <v>4610</v>
      </c>
      <c r="H820" s="1856">
        <v>0</v>
      </c>
      <c r="I820" s="1856">
        <v>0</v>
      </c>
      <c r="J820" s="1873">
        <v>0</v>
      </c>
      <c r="K820" s="1860"/>
      <c r="L820" s="1854">
        <v>13069010600</v>
      </c>
      <c r="M820" s="1855">
        <v>1</v>
      </c>
      <c r="N820" s="1855">
        <v>1</v>
      </c>
      <c r="O820" s="1855">
        <v>2</v>
      </c>
      <c r="AA820" s="27"/>
      <c r="AC820" s="523"/>
    </row>
    <row r="821" spans="3:29" ht="13.5">
      <c r="C821" s="1861" t="s">
        <v>4611</v>
      </c>
      <c r="D821" s="1858">
        <v>0</v>
      </c>
      <c r="E821" s="1858">
        <v>0</v>
      </c>
      <c r="F821" s="1859">
        <v>0</v>
      </c>
      <c r="G821" s="1872" t="s">
        <v>4611</v>
      </c>
      <c r="H821" s="1856">
        <v>0</v>
      </c>
      <c r="I821" s="1856">
        <v>0</v>
      </c>
      <c r="J821" s="1873">
        <v>0</v>
      </c>
      <c r="K821" s="1860"/>
      <c r="L821" s="1854">
        <v>13069010700</v>
      </c>
      <c r="M821" s="1855">
        <v>0</v>
      </c>
      <c r="N821" s="1855">
        <v>0</v>
      </c>
      <c r="O821" s="1855">
        <v>0</v>
      </c>
      <c r="AA821" s="27"/>
      <c r="AC821" s="523"/>
    </row>
    <row r="822" spans="3:29" ht="13.5">
      <c r="C822" s="1861" t="s">
        <v>4612</v>
      </c>
      <c r="D822" s="1858">
        <v>0</v>
      </c>
      <c r="E822" s="1858">
        <v>0</v>
      </c>
      <c r="F822" s="1859">
        <v>0</v>
      </c>
      <c r="G822" s="1872" t="s">
        <v>4612</v>
      </c>
      <c r="H822" s="1856">
        <v>0</v>
      </c>
      <c r="I822" s="1856">
        <v>0</v>
      </c>
      <c r="J822" s="1873">
        <v>0</v>
      </c>
      <c r="K822" s="1860"/>
      <c r="L822" s="1854">
        <v>13069010801</v>
      </c>
      <c r="M822" s="1855">
        <v>0</v>
      </c>
      <c r="N822" s="1855">
        <v>0</v>
      </c>
      <c r="O822" s="1855">
        <v>0</v>
      </c>
      <c r="AA822" s="27"/>
      <c r="AC822" s="523"/>
    </row>
    <row r="823" spans="3:29" ht="13.5">
      <c r="C823" s="1861" t="s">
        <v>4613</v>
      </c>
      <c r="D823" s="1858">
        <v>0</v>
      </c>
      <c r="E823" s="1858">
        <v>0</v>
      </c>
      <c r="F823" s="1859">
        <v>0</v>
      </c>
      <c r="G823" s="1872" t="s">
        <v>4613</v>
      </c>
      <c r="H823" s="1856">
        <v>0</v>
      </c>
      <c r="I823" s="1856">
        <v>0</v>
      </c>
      <c r="J823" s="1873">
        <v>0</v>
      </c>
      <c r="K823" s="1860"/>
      <c r="L823" s="1854">
        <v>13069010802</v>
      </c>
      <c r="M823" s="1855">
        <v>0</v>
      </c>
      <c r="N823" s="1855">
        <v>0</v>
      </c>
      <c r="O823" s="1855">
        <v>0</v>
      </c>
      <c r="AA823" s="27"/>
      <c r="AC823" s="523"/>
    </row>
    <row r="824" spans="3:29" ht="13.5">
      <c r="C824" s="1861" t="s">
        <v>4614</v>
      </c>
      <c r="D824" s="1858">
        <v>0</v>
      </c>
      <c r="E824" s="1858">
        <v>0</v>
      </c>
      <c r="F824" s="1859">
        <v>0</v>
      </c>
      <c r="G824" s="1872" t="s">
        <v>4614</v>
      </c>
      <c r="H824" s="1856">
        <v>0</v>
      </c>
      <c r="I824" s="1856">
        <v>0</v>
      </c>
      <c r="J824" s="1873">
        <v>0</v>
      </c>
      <c r="K824" s="1860"/>
      <c r="L824" s="1854">
        <v>13071970100</v>
      </c>
      <c r="M824" s="1855">
        <v>0</v>
      </c>
      <c r="N824" s="1855">
        <v>0</v>
      </c>
      <c r="O824" s="1855">
        <v>0</v>
      </c>
      <c r="AA824" s="27"/>
      <c r="AC824" s="523"/>
    </row>
    <row r="825" spans="3:29" ht="13.5">
      <c r="C825" s="1861" t="s">
        <v>4615</v>
      </c>
      <c r="D825" s="1858">
        <v>0</v>
      </c>
      <c r="E825" s="1858">
        <v>0</v>
      </c>
      <c r="F825" s="1859">
        <v>0</v>
      </c>
      <c r="G825" s="1872" t="s">
        <v>4615</v>
      </c>
      <c r="H825" s="1856">
        <v>0</v>
      </c>
      <c r="I825" s="1856">
        <v>0</v>
      </c>
      <c r="J825" s="1873">
        <v>0</v>
      </c>
      <c r="K825" s="1860"/>
      <c r="L825" s="1854">
        <v>13071970200</v>
      </c>
      <c r="M825" s="1855">
        <v>0</v>
      </c>
      <c r="N825" s="1855">
        <v>0</v>
      </c>
      <c r="O825" s="1855">
        <v>0</v>
      </c>
      <c r="AA825" s="27"/>
      <c r="AC825" s="523"/>
    </row>
    <row r="826" spans="3:29" ht="13.5">
      <c r="C826" s="1861" t="s">
        <v>4616</v>
      </c>
      <c r="D826" s="1858">
        <v>0</v>
      </c>
      <c r="E826" s="1858">
        <v>0</v>
      </c>
      <c r="F826" s="1859">
        <v>0</v>
      </c>
      <c r="G826" s="1872" t="s">
        <v>4616</v>
      </c>
      <c r="H826" s="1856">
        <v>0</v>
      </c>
      <c r="I826" s="1856">
        <v>0</v>
      </c>
      <c r="J826" s="1873">
        <v>0</v>
      </c>
      <c r="K826" s="1860"/>
      <c r="L826" s="1854">
        <v>13071970300</v>
      </c>
      <c r="M826" s="1855">
        <v>0</v>
      </c>
      <c r="N826" s="1855">
        <v>0</v>
      </c>
      <c r="O826" s="1855">
        <v>0</v>
      </c>
      <c r="AA826" s="27"/>
      <c r="AC826" s="523"/>
    </row>
    <row r="827" spans="3:29" ht="13.5">
      <c r="C827" s="1861" t="s">
        <v>4617</v>
      </c>
      <c r="D827" s="1858">
        <v>0</v>
      </c>
      <c r="E827" s="1858">
        <v>0</v>
      </c>
      <c r="F827" s="1859">
        <v>0</v>
      </c>
      <c r="G827" s="1872" t="s">
        <v>4617</v>
      </c>
      <c r="H827" s="1856">
        <v>0</v>
      </c>
      <c r="I827" s="1856">
        <v>0</v>
      </c>
      <c r="J827" s="1873">
        <v>0</v>
      </c>
      <c r="K827" s="1860"/>
      <c r="L827" s="1854">
        <v>13071970400</v>
      </c>
      <c r="M827" s="1855">
        <v>0</v>
      </c>
      <c r="N827" s="1855">
        <v>0</v>
      </c>
      <c r="O827" s="1855">
        <v>0</v>
      </c>
      <c r="AA827" s="27"/>
      <c r="AC827" s="523"/>
    </row>
    <row r="828" spans="3:29" ht="13.5">
      <c r="C828" s="1861" t="s">
        <v>4618</v>
      </c>
      <c r="D828" s="1858">
        <v>0</v>
      </c>
      <c r="E828" s="1858">
        <v>0</v>
      </c>
      <c r="F828" s="1859">
        <v>0</v>
      </c>
      <c r="G828" s="1872" t="s">
        <v>4618</v>
      </c>
      <c r="H828" s="1856">
        <v>0</v>
      </c>
      <c r="I828" s="1856">
        <v>0</v>
      </c>
      <c r="J828" s="1873">
        <v>0</v>
      </c>
      <c r="K828" s="1860"/>
      <c r="L828" s="1854">
        <v>13071970500</v>
      </c>
      <c r="M828" s="1855">
        <v>0</v>
      </c>
      <c r="N828" s="1855">
        <v>0</v>
      </c>
      <c r="O828" s="1855">
        <v>0</v>
      </c>
      <c r="AA828" s="27"/>
      <c r="AC828" s="523"/>
    </row>
    <row r="829" spans="3:29" ht="13.5">
      <c r="C829" s="1861" t="s">
        <v>4619</v>
      </c>
      <c r="D829" s="1858">
        <v>0</v>
      </c>
      <c r="E829" s="1858">
        <v>0</v>
      </c>
      <c r="F829" s="1859">
        <v>0</v>
      </c>
      <c r="G829" s="1872" t="s">
        <v>4619</v>
      </c>
      <c r="H829" s="1856">
        <v>0</v>
      </c>
      <c r="I829" s="1856">
        <v>0</v>
      </c>
      <c r="J829" s="1873">
        <v>0</v>
      </c>
      <c r="K829" s="1860"/>
      <c r="L829" s="1854">
        <v>13071970600</v>
      </c>
      <c r="M829" s="1855">
        <v>0</v>
      </c>
      <c r="N829" s="1855">
        <v>0</v>
      </c>
      <c r="O829" s="1855">
        <v>0</v>
      </c>
      <c r="AA829" s="27"/>
      <c r="AC829" s="523"/>
    </row>
    <row r="830" spans="3:29" ht="13.5">
      <c r="C830" s="1861" t="s">
        <v>4620</v>
      </c>
      <c r="D830" s="1858">
        <v>0</v>
      </c>
      <c r="E830" s="1858">
        <v>0</v>
      </c>
      <c r="F830" s="1859">
        <v>0</v>
      </c>
      <c r="G830" s="1872" t="s">
        <v>4620</v>
      </c>
      <c r="H830" s="1856">
        <v>0</v>
      </c>
      <c r="I830" s="1856">
        <v>0</v>
      </c>
      <c r="J830" s="1873">
        <v>0</v>
      </c>
      <c r="K830" s="1860"/>
      <c r="L830" s="1854">
        <v>13071970701</v>
      </c>
      <c r="M830" s="1855">
        <v>0</v>
      </c>
      <c r="N830" s="1855">
        <v>0</v>
      </c>
      <c r="O830" s="1855">
        <v>0</v>
      </c>
      <c r="AA830" s="27"/>
      <c r="AC830" s="523"/>
    </row>
    <row r="831" spans="3:29" ht="13.5">
      <c r="C831" s="1861" t="s">
        <v>4621</v>
      </c>
      <c r="D831" s="1858">
        <v>0</v>
      </c>
      <c r="E831" s="1858">
        <v>0</v>
      </c>
      <c r="F831" s="1859">
        <v>0</v>
      </c>
      <c r="G831" s="1872" t="s">
        <v>4621</v>
      </c>
      <c r="H831" s="1856">
        <v>0</v>
      </c>
      <c r="I831" s="1856">
        <v>0</v>
      </c>
      <c r="J831" s="1873">
        <v>0</v>
      </c>
      <c r="K831" s="1860"/>
      <c r="L831" s="1854">
        <v>13071970702</v>
      </c>
      <c r="M831" s="1855">
        <v>0</v>
      </c>
      <c r="N831" s="1855">
        <v>0</v>
      </c>
      <c r="O831" s="1855">
        <v>0</v>
      </c>
      <c r="AA831" s="27"/>
      <c r="AC831" s="523"/>
    </row>
    <row r="832" spans="3:29" ht="13.5">
      <c r="C832" s="1861" t="s">
        <v>4622</v>
      </c>
      <c r="D832" s="1858">
        <v>0</v>
      </c>
      <c r="E832" s="1858">
        <v>0</v>
      </c>
      <c r="F832" s="1859">
        <v>0</v>
      </c>
      <c r="G832" s="1872" t="s">
        <v>4622</v>
      </c>
      <c r="H832" s="1856">
        <v>0</v>
      </c>
      <c r="I832" s="1856">
        <v>0</v>
      </c>
      <c r="J832" s="1873">
        <v>0</v>
      </c>
      <c r="K832" s="1860"/>
      <c r="L832" s="1854">
        <v>13071970800</v>
      </c>
      <c r="M832" s="1855">
        <v>0</v>
      </c>
      <c r="N832" s="1855">
        <v>0</v>
      </c>
      <c r="O832" s="1855">
        <v>0</v>
      </c>
      <c r="AA832" s="27"/>
      <c r="AC832" s="523"/>
    </row>
    <row r="833" spans="3:29" ht="13.5">
      <c r="C833" s="1861" t="s">
        <v>4623</v>
      </c>
      <c r="D833" s="1858">
        <v>0</v>
      </c>
      <c r="E833" s="1858">
        <v>0</v>
      </c>
      <c r="F833" s="1859">
        <v>0</v>
      </c>
      <c r="G833" s="1872" t="s">
        <v>4623</v>
      </c>
      <c r="H833" s="1856">
        <v>0</v>
      </c>
      <c r="I833" s="1856">
        <v>0</v>
      </c>
      <c r="J833" s="1873">
        <v>0</v>
      </c>
      <c r="K833" s="1860"/>
      <c r="L833" s="1854">
        <v>13071970900</v>
      </c>
      <c r="M833" s="1855">
        <v>0</v>
      </c>
      <c r="N833" s="1855">
        <v>0</v>
      </c>
      <c r="O833" s="1855">
        <v>0</v>
      </c>
      <c r="AA833" s="27"/>
      <c r="AC833" s="523"/>
    </row>
    <row r="834" spans="3:29" ht="13.5">
      <c r="C834" s="1861" t="s">
        <v>4624</v>
      </c>
      <c r="D834" s="1858">
        <v>1</v>
      </c>
      <c r="E834" s="1858">
        <v>1</v>
      </c>
      <c r="F834" s="1859">
        <v>2</v>
      </c>
      <c r="G834" s="1872" t="s">
        <v>4624</v>
      </c>
      <c r="H834" s="1856">
        <v>1</v>
      </c>
      <c r="I834" s="1856" t="s">
        <v>3909</v>
      </c>
      <c r="J834" s="1873">
        <v>1</v>
      </c>
      <c r="K834" s="1860"/>
      <c r="L834" s="1854">
        <v>13073030102</v>
      </c>
      <c r="M834" s="1855">
        <v>1</v>
      </c>
      <c r="N834" s="1855">
        <v>1</v>
      </c>
      <c r="O834" s="1855">
        <v>2</v>
      </c>
      <c r="AA834" s="27"/>
      <c r="AC834" s="523"/>
    </row>
    <row r="835" spans="3:29" ht="13.5">
      <c r="C835" s="1861" t="s">
        <v>4625</v>
      </c>
      <c r="D835" s="1858">
        <v>1</v>
      </c>
      <c r="E835" s="1858">
        <v>1</v>
      </c>
      <c r="F835" s="1859">
        <v>2</v>
      </c>
      <c r="G835" s="1872" t="s">
        <v>4625</v>
      </c>
      <c r="H835" s="1856">
        <v>1</v>
      </c>
      <c r="I835" s="1856">
        <v>1</v>
      </c>
      <c r="J835" s="1873">
        <v>2</v>
      </c>
      <c r="K835" s="1860"/>
      <c r="L835" s="1854">
        <v>13073030103</v>
      </c>
      <c r="M835" s="1855">
        <v>1</v>
      </c>
      <c r="N835" s="1855">
        <v>1</v>
      </c>
      <c r="O835" s="1855">
        <v>2</v>
      </c>
      <c r="AA835" s="27"/>
      <c r="AC835" s="523"/>
    </row>
    <row r="836" spans="3:29" ht="13.5">
      <c r="C836" s="1861" t="s">
        <v>4626</v>
      </c>
      <c r="D836" s="1858">
        <v>1</v>
      </c>
      <c r="E836" s="1858">
        <v>1</v>
      </c>
      <c r="F836" s="1859">
        <v>2</v>
      </c>
      <c r="G836" s="1872" t="s">
        <v>4626</v>
      </c>
      <c r="H836" s="1856">
        <v>1</v>
      </c>
      <c r="I836" s="1856">
        <v>1</v>
      </c>
      <c r="J836" s="1873">
        <v>2</v>
      </c>
      <c r="K836" s="1860"/>
      <c r="L836" s="1854">
        <v>13073030105</v>
      </c>
      <c r="M836" s="1855">
        <v>1</v>
      </c>
      <c r="N836" s="1855">
        <v>1</v>
      </c>
      <c r="O836" s="1855">
        <v>2</v>
      </c>
      <c r="AA836" s="27"/>
      <c r="AC836" s="523"/>
    </row>
    <row r="837" spans="3:29" ht="13.5">
      <c r="C837" s="1861" t="s">
        <v>4627</v>
      </c>
      <c r="D837" s="1858">
        <v>1</v>
      </c>
      <c r="E837" s="1858">
        <v>1</v>
      </c>
      <c r="F837" s="1859">
        <v>2</v>
      </c>
      <c r="G837" s="1872" t="s">
        <v>4627</v>
      </c>
      <c r="H837" s="1856">
        <v>1</v>
      </c>
      <c r="I837" s="1856">
        <v>1</v>
      </c>
      <c r="J837" s="1873">
        <v>2</v>
      </c>
      <c r="K837" s="1860"/>
      <c r="L837" s="1854">
        <v>13073030106</v>
      </c>
      <c r="M837" s="1855">
        <v>1</v>
      </c>
      <c r="N837" s="1855">
        <v>1</v>
      </c>
      <c r="O837" s="1855">
        <v>2</v>
      </c>
      <c r="AA837" s="27"/>
      <c r="AC837" s="523"/>
    </row>
    <row r="838" spans="3:29" ht="13.5">
      <c r="C838" s="1861" t="s">
        <v>4628</v>
      </c>
      <c r="D838" s="1858">
        <v>1</v>
      </c>
      <c r="E838" s="1858">
        <v>1</v>
      </c>
      <c r="F838" s="1859">
        <v>2</v>
      </c>
      <c r="G838" s="1872" t="s">
        <v>4628</v>
      </c>
      <c r="H838" s="1856">
        <v>0</v>
      </c>
      <c r="I838" s="1856">
        <v>1</v>
      </c>
      <c r="J838" s="1873">
        <v>1</v>
      </c>
      <c r="K838" s="1860"/>
      <c r="L838" s="1854">
        <v>13073030201</v>
      </c>
      <c r="M838" s="1855">
        <v>1</v>
      </c>
      <c r="N838" s="1855">
        <v>1</v>
      </c>
      <c r="O838" s="1855">
        <v>2</v>
      </c>
      <c r="AA838" s="27"/>
      <c r="AC838" s="523"/>
    </row>
    <row r="839" spans="3:29" ht="13.5">
      <c r="C839" s="1861" t="s">
        <v>4629</v>
      </c>
      <c r="D839" s="1858">
        <v>0</v>
      </c>
      <c r="E839" s="1858">
        <v>1</v>
      </c>
      <c r="F839" s="1859">
        <v>1</v>
      </c>
      <c r="G839" s="1872" t="s">
        <v>4629</v>
      </c>
      <c r="H839" s="1856">
        <v>0</v>
      </c>
      <c r="I839" s="1856">
        <v>1</v>
      </c>
      <c r="J839" s="1873">
        <v>1</v>
      </c>
      <c r="K839" s="1860"/>
      <c r="L839" s="1854">
        <v>13073030202</v>
      </c>
      <c r="M839" s="1855">
        <v>0</v>
      </c>
      <c r="N839" s="1855">
        <v>1</v>
      </c>
      <c r="O839" s="1855">
        <v>1</v>
      </c>
      <c r="AA839" s="27"/>
      <c r="AC839" s="523"/>
    </row>
    <row r="840" spans="3:29" ht="13.5">
      <c r="C840" s="1861" t="s">
        <v>4630</v>
      </c>
      <c r="D840" s="1858">
        <v>1</v>
      </c>
      <c r="E840" s="1858">
        <v>1</v>
      </c>
      <c r="F840" s="1859">
        <v>2</v>
      </c>
      <c r="G840" s="1872" t="s">
        <v>4630</v>
      </c>
      <c r="H840" s="1856">
        <v>1</v>
      </c>
      <c r="I840" s="1856">
        <v>1</v>
      </c>
      <c r="J840" s="1873">
        <v>2</v>
      </c>
      <c r="K840" s="1860"/>
      <c r="L840" s="1854">
        <v>13073030203</v>
      </c>
      <c r="M840" s="1855">
        <v>1</v>
      </c>
      <c r="N840" s="1855">
        <v>1</v>
      </c>
      <c r="O840" s="1855">
        <v>2</v>
      </c>
      <c r="AA840" s="27"/>
      <c r="AC840" s="523"/>
    </row>
    <row r="841" spans="3:29" ht="13.5">
      <c r="C841" s="1861" t="s">
        <v>4631</v>
      </c>
      <c r="D841" s="1858">
        <v>1</v>
      </c>
      <c r="E841" s="1858">
        <v>1</v>
      </c>
      <c r="F841" s="1859">
        <v>2</v>
      </c>
      <c r="G841" s="1872" t="s">
        <v>4631</v>
      </c>
      <c r="H841" s="1856">
        <v>1</v>
      </c>
      <c r="I841" s="1856">
        <v>1</v>
      </c>
      <c r="J841" s="1873">
        <v>2</v>
      </c>
      <c r="K841" s="1860"/>
      <c r="L841" s="1854">
        <v>13073030302</v>
      </c>
      <c r="M841" s="1855">
        <v>1</v>
      </c>
      <c r="N841" s="1855">
        <v>1</v>
      </c>
      <c r="O841" s="1855">
        <v>2</v>
      </c>
      <c r="AA841" s="27"/>
      <c r="AC841" s="523"/>
    </row>
    <row r="842" spans="3:29" ht="13.5">
      <c r="C842" s="1861" t="s">
        <v>4632</v>
      </c>
      <c r="D842" s="1858">
        <v>1</v>
      </c>
      <c r="E842" s="1858">
        <v>1</v>
      </c>
      <c r="F842" s="1859">
        <v>2</v>
      </c>
      <c r="G842" s="1872" t="s">
        <v>4632</v>
      </c>
      <c r="H842" s="1856">
        <v>1</v>
      </c>
      <c r="I842" s="1856">
        <v>1</v>
      </c>
      <c r="J842" s="1873">
        <v>2</v>
      </c>
      <c r="K842" s="1860"/>
      <c r="L842" s="1854">
        <v>13073030304</v>
      </c>
      <c r="M842" s="1855">
        <v>1</v>
      </c>
      <c r="N842" s="1855">
        <v>1</v>
      </c>
      <c r="O842" s="1855">
        <v>2</v>
      </c>
    </row>
    <row r="843" spans="3:29" ht="13.5">
      <c r="C843" s="1861" t="s">
        <v>4633</v>
      </c>
      <c r="D843" s="1858">
        <v>1</v>
      </c>
      <c r="E843" s="1858">
        <v>1</v>
      </c>
      <c r="F843" s="1859">
        <v>2</v>
      </c>
      <c r="G843" s="1872" t="s">
        <v>4633</v>
      </c>
      <c r="H843" s="1856">
        <v>1</v>
      </c>
      <c r="I843" s="1856">
        <v>1</v>
      </c>
      <c r="J843" s="1873">
        <v>2</v>
      </c>
      <c r="K843" s="1860"/>
      <c r="L843" s="1854">
        <v>13073030306</v>
      </c>
      <c r="M843" s="1855">
        <v>1</v>
      </c>
      <c r="N843" s="1855">
        <v>1</v>
      </c>
      <c r="O843" s="1855">
        <v>2</v>
      </c>
    </row>
    <row r="844" spans="3:29" ht="13.5">
      <c r="C844" s="1861" t="s">
        <v>4634</v>
      </c>
      <c r="D844" s="1858">
        <v>1</v>
      </c>
      <c r="E844" s="1858">
        <v>1</v>
      </c>
      <c r="F844" s="1859">
        <v>2</v>
      </c>
      <c r="G844" s="1872" t="s">
        <v>4634</v>
      </c>
      <c r="H844" s="1856">
        <v>1</v>
      </c>
      <c r="I844" s="1856">
        <v>1</v>
      </c>
      <c r="J844" s="1873">
        <v>2</v>
      </c>
      <c r="K844" s="1860"/>
      <c r="L844" s="1854">
        <v>13073030307</v>
      </c>
      <c r="M844" s="1855">
        <v>1</v>
      </c>
      <c r="N844" s="1855">
        <v>1</v>
      </c>
      <c r="O844" s="1855">
        <v>2</v>
      </c>
    </row>
    <row r="845" spans="3:29" ht="13.5">
      <c r="C845" s="1861" t="s">
        <v>4635</v>
      </c>
      <c r="D845" s="1858">
        <v>1</v>
      </c>
      <c r="E845" s="1858">
        <v>1</v>
      </c>
      <c r="F845" s="1859">
        <v>2</v>
      </c>
      <c r="G845" s="1872" t="s">
        <v>4635</v>
      </c>
      <c r="H845" s="1856">
        <v>1</v>
      </c>
      <c r="I845" s="1856">
        <v>1</v>
      </c>
      <c r="J845" s="1873">
        <v>2</v>
      </c>
      <c r="K845" s="1860"/>
      <c r="L845" s="1854">
        <v>13073030308</v>
      </c>
      <c r="M845" s="1855">
        <v>1</v>
      </c>
      <c r="N845" s="1855">
        <v>1</v>
      </c>
      <c r="O845" s="1855">
        <v>2</v>
      </c>
    </row>
    <row r="846" spans="3:29" ht="13.5">
      <c r="C846" s="1861" t="s">
        <v>4636</v>
      </c>
      <c r="D846" s="1858">
        <v>1</v>
      </c>
      <c r="E846" s="1858">
        <v>1</v>
      </c>
      <c r="F846" s="1859">
        <v>2</v>
      </c>
      <c r="G846" s="1872" t="s">
        <v>4636</v>
      </c>
      <c r="H846" s="1856">
        <v>1</v>
      </c>
      <c r="I846" s="1856">
        <v>1</v>
      </c>
      <c r="J846" s="1873">
        <v>2</v>
      </c>
      <c r="K846" s="1860"/>
      <c r="L846" s="1854">
        <v>13073030309</v>
      </c>
      <c r="M846" s="1855">
        <v>1</v>
      </c>
      <c r="N846" s="1855">
        <v>1</v>
      </c>
      <c r="O846" s="1855">
        <v>2</v>
      </c>
    </row>
    <row r="847" spans="3:29" ht="13.5">
      <c r="C847" s="1861" t="s">
        <v>4637</v>
      </c>
      <c r="D847" s="1858">
        <v>0</v>
      </c>
      <c r="E847" s="1858">
        <v>0</v>
      </c>
      <c r="F847" s="1859">
        <v>0</v>
      </c>
      <c r="G847" s="1872" t="s">
        <v>4637</v>
      </c>
      <c r="H847" s="1856">
        <v>0</v>
      </c>
      <c r="I847" s="1856">
        <v>0</v>
      </c>
      <c r="J847" s="1873">
        <v>0</v>
      </c>
      <c r="K847" s="1860"/>
      <c r="L847" s="1854">
        <v>13073030401</v>
      </c>
      <c r="M847" s="1855">
        <v>0</v>
      </c>
      <c r="N847" s="1855">
        <v>0</v>
      </c>
      <c r="O847" s="1855">
        <v>0</v>
      </c>
    </row>
    <row r="848" spans="3:29" ht="13.5">
      <c r="C848" s="1861" t="s">
        <v>4638</v>
      </c>
      <c r="D848" s="1858">
        <v>1</v>
      </c>
      <c r="E848" s="1858">
        <v>1</v>
      </c>
      <c r="F848" s="1859">
        <v>2</v>
      </c>
      <c r="G848" s="1872" t="s">
        <v>4638</v>
      </c>
      <c r="H848" s="1856">
        <v>1</v>
      </c>
      <c r="I848" s="1856">
        <v>1</v>
      </c>
      <c r="J848" s="1873">
        <v>2</v>
      </c>
      <c r="K848" s="1860"/>
      <c r="L848" s="1854">
        <v>13073030402</v>
      </c>
      <c r="M848" s="1855">
        <v>1</v>
      </c>
      <c r="N848" s="1855">
        <v>1</v>
      </c>
      <c r="O848" s="1855">
        <v>2</v>
      </c>
    </row>
    <row r="849" spans="3:15" ht="13.5">
      <c r="C849" s="1861" t="s">
        <v>4639</v>
      </c>
      <c r="D849" s="1858">
        <v>1</v>
      </c>
      <c r="E849" s="1858">
        <v>1</v>
      </c>
      <c r="F849" s="1859">
        <v>2</v>
      </c>
      <c r="G849" s="1872" t="s">
        <v>4639</v>
      </c>
      <c r="H849" s="1856">
        <v>1</v>
      </c>
      <c r="I849" s="1856">
        <v>0</v>
      </c>
      <c r="J849" s="1873">
        <v>1</v>
      </c>
      <c r="K849" s="1860"/>
      <c r="L849" s="1854">
        <v>13073030503</v>
      </c>
      <c r="M849" s="1855">
        <v>1</v>
      </c>
      <c r="N849" s="1855">
        <v>1</v>
      </c>
      <c r="O849" s="1855">
        <v>2</v>
      </c>
    </row>
    <row r="850" spans="3:15" ht="13.5">
      <c r="C850" s="1861" t="s">
        <v>4640</v>
      </c>
      <c r="D850" s="1858">
        <v>1</v>
      </c>
      <c r="E850" s="1858">
        <v>1</v>
      </c>
      <c r="F850" s="1859">
        <v>2</v>
      </c>
      <c r="G850" s="1872" t="s">
        <v>4640</v>
      </c>
      <c r="H850" s="1856">
        <v>0</v>
      </c>
      <c r="I850" s="1856">
        <v>1</v>
      </c>
      <c r="J850" s="1873">
        <v>1</v>
      </c>
      <c r="K850" s="1860"/>
      <c r="L850" s="1854">
        <v>13073030504</v>
      </c>
      <c r="M850" s="1855">
        <v>1</v>
      </c>
      <c r="N850" s="1855">
        <v>1</v>
      </c>
      <c r="O850" s="1855">
        <v>2</v>
      </c>
    </row>
    <row r="851" spans="3:15" ht="13.5">
      <c r="C851" s="1861" t="s">
        <v>4641</v>
      </c>
      <c r="D851" s="1858">
        <v>1</v>
      </c>
      <c r="E851" s="1858">
        <v>1</v>
      </c>
      <c r="F851" s="1859">
        <v>2</v>
      </c>
      <c r="G851" s="1872" t="s">
        <v>4641</v>
      </c>
      <c r="H851" s="1856">
        <v>0</v>
      </c>
      <c r="I851" s="1856" t="s">
        <v>3909</v>
      </c>
      <c r="J851" s="1873">
        <v>0</v>
      </c>
      <c r="K851" s="1860"/>
      <c r="L851" s="1854">
        <v>13073030505</v>
      </c>
      <c r="M851" s="1855">
        <v>1</v>
      </c>
      <c r="N851" s="1855">
        <v>1</v>
      </c>
      <c r="O851" s="1855">
        <v>2</v>
      </c>
    </row>
    <row r="852" spans="3:15" ht="13.5">
      <c r="C852" s="1861" t="s">
        <v>4642</v>
      </c>
      <c r="D852" s="1858">
        <v>0</v>
      </c>
      <c r="E852" s="1858">
        <v>1</v>
      </c>
      <c r="F852" s="1859">
        <v>1</v>
      </c>
      <c r="G852" s="1872" t="s">
        <v>4642</v>
      </c>
      <c r="H852" s="1856">
        <v>0</v>
      </c>
      <c r="I852" s="1856">
        <v>0</v>
      </c>
      <c r="J852" s="1873">
        <v>0</v>
      </c>
      <c r="K852" s="1860"/>
      <c r="L852" s="1854">
        <v>13073030506</v>
      </c>
      <c r="M852" s="1855">
        <v>0</v>
      </c>
      <c r="N852" s="1855">
        <v>1</v>
      </c>
      <c r="O852" s="1855">
        <v>1</v>
      </c>
    </row>
    <row r="853" spans="3:15" ht="13.5">
      <c r="C853" s="1861" t="s">
        <v>4643</v>
      </c>
      <c r="D853" s="1858">
        <v>0</v>
      </c>
      <c r="E853" s="1858">
        <v>0</v>
      </c>
      <c r="F853" s="1859">
        <v>0</v>
      </c>
      <c r="G853" s="1872" t="s">
        <v>4643</v>
      </c>
      <c r="H853" s="1856">
        <v>0</v>
      </c>
      <c r="I853" s="1856">
        <v>0</v>
      </c>
      <c r="J853" s="1873">
        <v>0</v>
      </c>
      <c r="K853" s="1860"/>
      <c r="L853" s="1854">
        <v>13073030603</v>
      </c>
      <c r="M853" s="1855">
        <v>0</v>
      </c>
      <c r="N853" s="1855">
        <v>0</v>
      </c>
      <c r="O853" s="1855">
        <v>0</v>
      </c>
    </row>
    <row r="854" spans="3:15" ht="13.5">
      <c r="C854" s="1861" t="s">
        <v>4644</v>
      </c>
      <c r="D854" s="1858">
        <v>0</v>
      </c>
      <c r="E854" s="1858">
        <v>0</v>
      </c>
      <c r="F854" s="1859">
        <v>0</v>
      </c>
      <c r="G854" s="1872" t="s">
        <v>4644</v>
      </c>
      <c r="H854" s="1856">
        <v>0</v>
      </c>
      <c r="I854" s="1856">
        <v>0</v>
      </c>
      <c r="J854" s="1873">
        <v>0</v>
      </c>
      <c r="K854" s="1860"/>
      <c r="L854" s="1854">
        <v>13075960100</v>
      </c>
      <c r="M854" s="1855">
        <v>0</v>
      </c>
      <c r="N854" s="1855">
        <v>0</v>
      </c>
      <c r="O854" s="1855">
        <v>0</v>
      </c>
    </row>
    <row r="855" spans="3:15" ht="13.5">
      <c r="C855" s="1861" t="s">
        <v>4645</v>
      </c>
      <c r="D855" s="1858">
        <v>0</v>
      </c>
      <c r="E855" s="1858">
        <v>0</v>
      </c>
      <c r="F855" s="1859">
        <v>0</v>
      </c>
      <c r="G855" s="1872" t="s">
        <v>4645</v>
      </c>
      <c r="H855" s="1856">
        <v>0</v>
      </c>
      <c r="I855" s="1856">
        <v>0</v>
      </c>
      <c r="J855" s="1873">
        <v>0</v>
      </c>
      <c r="K855" s="1860"/>
      <c r="L855" s="1854">
        <v>13075960200</v>
      </c>
      <c r="M855" s="1855">
        <v>0</v>
      </c>
      <c r="N855" s="1855">
        <v>0</v>
      </c>
      <c r="O855" s="1855">
        <v>0</v>
      </c>
    </row>
    <row r="856" spans="3:15" ht="13.5">
      <c r="C856" s="1861" t="s">
        <v>4646</v>
      </c>
      <c r="D856" s="1858">
        <v>0</v>
      </c>
      <c r="E856" s="1858">
        <v>0</v>
      </c>
      <c r="F856" s="1859">
        <v>0</v>
      </c>
      <c r="G856" s="1872" t="s">
        <v>4646</v>
      </c>
      <c r="H856" s="1856">
        <v>0</v>
      </c>
      <c r="I856" s="1856">
        <v>0</v>
      </c>
      <c r="J856" s="1873">
        <v>0</v>
      </c>
      <c r="K856" s="1860"/>
      <c r="L856" s="1854">
        <v>13075960300</v>
      </c>
      <c r="M856" s="1855">
        <v>0</v>
      </c>
      <c r="N856" s="1855">
        <v>0</v>
      </c>
      <c r="O856" s="1855">
        <v>0</v>
      </c>
    </row>
    <row r="857" spans="3:15" ht="13.5">
      <c r="C857" s="1861" t="s">
        <v>4647</v>
      </c>
      <c r="D857" s="1858">
        <v>0</v>
      </c>
      <c r="E857" s="1858">
        <v>0</v>
      </c>
      <c r="F857" s="1859">
        <v>0</v>
      </c>
      <c r="G857" s="1872" t="s">
        <v>4647</v>
      </c>
      <c r="H857" s="1856">
        <v>0</v>
      </c>
      <c r="I857" s="1856">
        <v>0</v>
      </c>
      <c r="J857" s="1873">
        <v>0</v>
      </c>
      <c r="K857" s="1860"/>
      <c r="L857" s="1854">
        <v>13075960400</v>
      </c>
      <c r="M857" s="1855">
        <v>0</v>
      </c>
      <c r="N857" s="1855">
        <v>0</v>
      </c>
      <c r="O857" s="1855">
        <v>0</v>
      </c>
    </row>
    <row r="858" spans="3:15" ht="13.5">
      <c r="C858" s="1861" t="s">
        <v>4648</v>
      </c>
      <c r="D858" s="1858">
        <v>1</v>
      </c>
      <c r="E858" s="1858">
        <v>1</v>
      </c>
      <c r="F858" s="1859">
        <v>2</v>
      </c>
      <c r="G858" s="1872" t="s">
        <v>4648</v>
      </c>
      <c r="H858" s="1856">
        <v>1</v>
      </c>
      <c r="I858" s="1856">
        <v>0</v>
      </c>
      <c r="J858" s="1873">
        <v>1</v>
      </c>
      <c r="K858" s="1860"/>
      <c r="L858" s="1854">
        <v>13077170100</v>
      </c>
      <c r="M858" s="1855">
        <v>1</v>
      </c>
      <c r="N858" s="1855">
        <v>1</v>
      </c>
      <c r="O858" s="1855">
        <v>2</v>
      </c>
    </row>
    <row r="859" spans="3:15" ht="13.5">
      <c r="C859" s="1861" t="s">
        <v>4649</v>
      </c>
      <c r="D859" s="1858">
        <v>1</v>
      </c>
      <c r="E859" s="1858">
        <v>0</v>
      </c>
      <c r="F859" s="1859">
        <v>1</v>
      </c>
      <c r="G859" s="1872" t="s">
        <v>4649</v>
      </c>
      <c r="H859" s="1856">
        <v>1</v>
      </c>
      <c r="I859" s="1856">
        <v>0</v>
      </c>
      <c r="J859" s="1873">
        <v>1</v>
      </c>
      <c r="K859" s="1860"/>
      <c r="L859" s="1854">
        <v>13077170200</v>
      </c>
      <c r="M859" s="1855">
        <v>1</v>
      </c>
      <c r="N859" s="1855">
        <v>0</v>
      </c>
      <c r="O859" s="1855">
        <v>1</v>
      </c>
    </row>
    <row r="860" spans="3:15" ht="13.5">
      <c r="C860" s="1861" t="s">
        <v>4650</v>
      </c>
      <c r="D860" s="1858">
        <v>1</v>
      </c>
      <c r="E860" s="1858">
        <v>1</v>
      </c>
      <c r="F860" s="1859">
        <v>2</v>
      </c>
      <c r="G860" s="1872" t="s">
        <v>4650</v>
      </c>
      <c r="H860" s="1856">
        <v>1</v>
      </c>
      <c r="I860" s="1856">
        <v>1</v>
      </c>
      <c r="J860" s="1873">
        <v>2</v>
      </c>
      <c r="K860" s="1860"/>
      <c r="L860" s="1854">
        <v>13077170303</v>
      </c>
      <c r="M860" s="1855">
        <v>1</v>
      </c>
      <c r="N860" s="1855">
        <v>1</v>
      </c>
      <c r="O860" s="1855">
        <v>2</v>
      </c>
    </row>
    <row r="861" spans="3:15" ht="13.5">
      <c r="C861" s="1861" t="s">
        <v>4651</v>
      </c>
      <c r="D861" s="1858">
        <v>1</v>
      </c>
      <c r="E861" s="1858">
        <v>1</v>
      </c>
      <c r="F861" s="1859">
        <v>2</v>
      </c>
      <c r="G861" s="1872" t="s">
        <v>4651</v>
      </c>
      <c r="H861" s="1856">
        <v>1</v>
      </c>
      <c r="I861" s="1856">
        <v>1</v>
      </c>
      <c r="J861" s="1873">
        <v>2</v>
      </c>
      <c r="K861" s="1860"/>
      <c r="L861" s="1854">
        <v>13077170304</v>
      </c>
      <c r="M861" s="1855">
        <v>1</v>
      </c>
      <c r="N861" s="1855">
        <v>1</v>
      </c>
      <c r="O861" s="1855">
        <v>2</v>
      </c>
    </row>
    <row r="862" spans="3:15" ht="13.5">
      <c r="C862" s="1861" t="s">
        <v>4652</v>
      </c>
      <c r="D862" s="1858">
        <v>0</v>
      </c>
      <c r="E862" s="1858">
        <v>0</v>
      </c>
      <c r="F862" s="1859">
        <v>0</v>
      </c>
      <c r="G862" s="1872" t="s">
        <v>4652</v>
      </c>
      <c r="H862" s="1856">
        <v>0</v>
      </c>
      <c r="I862" s="1856">
        <v>0</v>
      </c>
      <c r="J862" s="1873">
        <v>0</v>
      </c>
      <c r="K862" s="1860"/>
      <c r="L862" s="1854">
        <v>13077170305</v>
      </c>
      <c r="M862" s="1855">
        <v>0</v>
      </c>
      <c r="N862" s="1855">
        <v>0</v>
      </c>
      <c r="O862" s="1855">
        <v>0</v>
      </c>
    </row>
    <row r="863" spans="3:15" ht="13.5">
      <c r="C863" s="1861" t="s">
        <v>4653</v>
      </c>
      <c r="D863" s="1858">
        <v>1</v>
      </c>
      <c r="E863" s="1858">
        <v>1</v>
      </c>
      <c r="F863" s="1859">
        <v>2</v>
      </c>
      <c r="G863" s="1872" t="s">
        <v>4653</v>
      </c>
      <c r="H863" s="1856">
        <v>1</v>
      </c>
      <c r="I863" s="1856">
        <v>1</v>
      </c>
      <c r="J863" s="1873">
        <v>2</v>
      </c>
      <c r="K863" s="1860"/>
      <c r="L863" s="1854">
        <v>13077170306</v>
      </c>
      <c r="M863" s="1855">
        <v>1</v>
      </c>
      <c r="N863" s="1855">
        <v>1</v>
      </c>
      <c r="O863" s="1855">
        <v>2</v>
      </c>
    </row>
    <row r="864" spans="3:15" ht="13.5">
      <c r="C864" s="1861" t="s">
        <v>4654</v>
      </c>
      <c r="D864" s="1858">
        <v>1</v>
      </c>
      <c r="E864" s="1858">
        <v>1</v>
      </c>
      <c r="F864" s="1859">
        <v>2</v>
      </c>
      <c r="G864" s="1872" t="s">
        <v>4654</v>
      </c>
      <c r="H864" s="1856">
        <v>1</v>
      </c>
      <c r="I864" s="1856">
        <v>1</v>
      </c>
      <c r="J864" s="1873">
        <v>2</v>
      </c>
      <c r="K864" s="1860"/>
      <c r="L864" s="1854">
        <v>13077170402</v>
      </c>
      <c r="M864" s="1855">
        <v>1</v>
      </c>
      <c r="N864" s="1855">
        <v>1</v>
      </c>
      <c r="O864" s="1855">
        <v>2</v>
      </c>
    </row>
    <row r="865" spans="3:15" ht="13.5">
      <c r="C865" s="1861" t="s">
        <v>4655</v>
      </c>
      <c r="D865" s="1858">
        <v>1</v>
      </c>
      <c r="E865" s="1858">
        <v>1</v>
      </c>
      <c r="F865" s="1859">
        <v>2</v>
      </c>
      <c r="G865" s="1872" t="s">
        <v>4655</v>
      </c>
      <c r="H865" s="1856">
        <v>1</v>
      </c>
      <c r="I865" s="1856">
        <v>1</v>
      </c>
      <c r="J865" s="1873">
        <v>2</v>
      </c>
      <c r="K865" s="1860"/>
      <c r="L865" s="1854">
        <v>13077170403</v>
      </c>
      <c r="M865" s="1855">
        <v>1</v>
      </c>
      <c r="N865" s="1855">
        <v>1</v>
      </c>
      <c r="O865" s="1855">
        <v>2</v>
      </c>
    </row>
    <row r="866" spans="3:15" ht="13.5">
      <c r="C866" s="1861" t="s">
        <v>4656</v>
      </c>
      <c r="D866" s="1858">
        <v>1</v>
      </c>
      <c r="E866" s="1858">
        <v>1</v>
      </c>
      <c r="F866" s="1859">
        <v>2</v>
      </c>
      <c r="G866" s="1872" t="s">
        <v>4656</v>
      </c>
      <c r="H866" s="1856">
        <v>1</v>
      </c>
      <c r="I866" s="1856">
        <v>1</v>
      </c>
      <c r="J866" s="1873">
        <v>2</v>
      </c>
      <c r="K866" s="1860"/>
      <c r="L866" s="1854">
        <v>13077170404</v>
      </c>
      <c r="M866" s="1855">
        <v>1</v>
      </c>
      <c r="N866" s="1855">
        <v>1</v>
      </c>
      <c r="O866" s="1855">
        <v>2</v>
      </c>
    </row>
    <row r="867" spans="3:15" ht="13.5">
      <c r="C867" s="1861" t="s">
        <v>4657</v>
      </c>
      <c r="D867" s="1858">
        <v>1</v>
      </c>
      <c r="E867" s="1858">
        <v>1</v>
      </c>
      <c r="F867" s="1859">
        <v>2</v>
      </c>
      <c r="G867" s="1872" t="s">
        <v>4657</v>
      </c>
      <c r="H867" s="1856">
        <v>1</v>
      </c>
      <c r="I867" s="1856">
        <v>1</v>
      </c>
      <c r="J867" s="1873">
        <v>2</v>
      </c>
      <c r="K867" s="1860"/>
      <c r="L867" s="1854">
        <v>13077170405</v>
      </c>
      <c r="M867" s="1855">
        <v>1</v>
      </c>
      <c r="N867" s="1855">
        <v>1</v>
      </c>
      <c r="O867" s="1855">
        <v>2</v>
      </c>
    </row>
    <row r="868" spans="3:15" ht="13.5">
      <c r="C868" s="1861" t="s">
        <v>4658</v>
      </c>
      <c r="D868" s="1858">
        <v>1</v>
      </c>
      <c r="E868" s="1858">
        <v>1</v>
      </c>
      <c r="F868" s="1859">
        <v>2</v>
      </c>
      <c r="G868" s="1872" t="s">
        <v>4658</v>
      </c>
      <c r="H868" s="1856">
        <v>1</v>
      </c>
      <c r="I868" s="1856">
        <v>1</v>
      </c>
      <c r="J868" s="1873">
        <v>2</v>
      </c>
      <c r="K868" s="1860"/>
      <c r="L868" s="1854">
        <v>13077170406</v>
      </c>
      <c r="M868" s="1855">
        <v>1</v>
      </c>
      <c r="N868" s="1855">
        <v>1</v>
      </c>
      <c r="O868" s="1855">
        <v>2</v>
      </c>
    </row>
    <row r="869" spans="3:15" ht="13.5">
      <c r="C869" s="1861" t="s">
        <v>4659</v>
      </c>
      <c r="D869" s="1858">
        <v>1</v>
      </c>
      <c r="E869" s="1858">
        <v>1</v>
      </c>
      <c r="F869" s="1859">
        <v>2</v>
      </c>
      <c r="G869" s="1872" t="s">
        <v>4659</v>
      </c>
      <c r="H869" s="1856">
        <v>1</v>
      </c>
      <c r="I869" s="1856">
        <v>1</v>
      </c>
      <c r="J869" s="1873">
        <v>2</v>
      </c>
      <c r="K869" s="1860"/>
      <c r="L869" s="1854">
        <v>13077170501</v>
      </c>
      <c r="M869" s="1855">
        <v>1</v>
      </c>
      <c r="N869" s="1855">
        <v>1</v>
      </c>
      <c r="O869" s="1855">
        <v>2</v>
      </c>
    </row>
    <row r="870" spans="3:15" ht="13.5">
      <c r="C870" s="1861" t="s">
        <v>4660</v>
      </c>
      <c r="D870" s="1858">
        <v>1</v>
      </c>
      <c r="E870" s="1858">
        <v>1</v>
      </c>
      <c r="F870" s="1859">
        <v>2</v>
      </c>
      <c r="G870" s="1872" t="s">
        <v>4660</v>
      </c>
      <c r="H870" s="1856">
        <v>1</v>
      </c>
      <c r="I870" s="1856">
        <v>1</v>
      </c>
      <c r="J870" s="1873">
        <v>2</v>
      </c>
      <c r="K870" s="1860"/>
      <c r="L870" s="1854">
        <v>13077170502</v>
      </c>
      <c r="M870" s="1855">
        <v>1</v>
      </c>
      <c r="N870" s="1855">
        <v>1</v>
      </c>
      <c r="O870" s="1855">
        <v>2</v>
      </c>
    </row>
    <row r="871" spans="3:15" ht="13.5">
      <c r="C871" s="1861" t="s">
        <v>4661</v>
      </c>
      <c r="D871" s="1858">
        <v>1</v>
      </c>
      <c r="E871" s="1858">
        <v>1</v>
      </c>
      <c r="F871" s="1859">
        <v>2</v>
      </c>
      <c r="G871" s="1872" t="s">
        <v>4661</v>
      </c>
      <c r="H871" s="1856">
        <v>1</v>
      </c>
      <c r="I871" s="1856">
        <v>1</v>
      </c>
      <c r="J871" s="1873">
        <v>2</v>
      </c>
      <c r="K871" s="1860"/>
      <c r="L871" s="1854">
        <v>13077170503</v>
      </c>
      <c r="M871" s="1855">
        <v>1</v>
      </c>
      <c r="N871" s="1855">
        <v>1</v>
      </c>
      <c r="O871" s="1855">
        <v>2</v>
      </c>
    </row>
    <row r="872" spans="3:15" ht="13.5">
      <c r="C872" s="1861" t="s">
        <v>4662</v>
      </c>
      <c r="D872" s="1858">
        <v>0</v>
      </c>
      <c r="E872" s="1858">
        <v>0</v>
      </c>
      <c r="F872" s="1859">
        <v>0</v>
      </c>
      <c r="G872" s="1872" t="s">
        <v>4662</v>
      </c>
      <c r="H872" s="1856">
        <v>0</v>
      </c>
      <c r="I872" s="1856">
        <v>0</v>
      </c>
      <c r="J872" s="1873">
        <v>0</v>
      </c>
      <c r="K872" s="1860"/>
      <c r="L872" s="1854">
        <v>13077170601</v>
      </c>
      <c r="M872" s="1855">
        <v>0</v>
      </c>
      <c r="N872" s="1855">
        <v>0</v>
      </c>
      <c r="O872" s="1855">
        <v>0</v>
      </c>
    </row>
    <row r="873" spans="3:15" ht="13.5">
      <c r="C873" s="1861" t="s">
        <v>4663</v>
      </c>
      <c r="D873" s="1858">
        <v>1</v>
      </c>
      <c r="E873" s="1858">
        <v>1</v>
      </c>
      <c r="F873" s="1859">
        <v>2</v>
      </c>
      <c r="G873" s="1872" t="s">
        <v>4663</v>
      </c>
      <c r="H873" s="1856">
        <v>1</v>
      </c>
      <c r="I873" s="1856" t="s">
        <v>3909</v>
      </c>
      <c r="J873" s="1873">
        <v>1</v>
      </c>
      <c r="K873" s="1860"/>
      <c r="L873" s="1854">
        <v>13077170602</v>
      </c>
      <c r="M873" s="1855">
        <v>1</v>
      </c>
      <c r="N873" s="1855">
        <v>1</v>
      </c>
      <c r="O873" s="1855">
        <v>2</v>
      </c>
    </row>
    <row r="874" spans="3:15" ht="13.5">
      <c r="C874" s="1861" t="s">
        <v>4664</v>
      </c>
      <c r="D874" s="1858">
        <v>1</v>
      </c>
      <c r="E874" s="1858">
        <v>1</v>
      </c>
      <c r="F874" s="1859">
        <v>2</v>
      </c>
      <c r="G874" s="1872" t="s">
        <v>4664</v>
      </c>
      <c r="H874" s="1856">
        <v>1</v>
      </c>
      <c r="I874" s="1856">
        <v>1</v>
      </c>
      <c r="J874" s="1873">
        <v>2</v>
      </c>
      <c r="K874" s="1860"/>
      <c r="L874" s="1854">
        <v>13077170603</v>
      </c>
      <c r="M874" s="1855">
        <v>1</v>
      </c>
      <c r="N874" s="1855">
        <v>1</v>
      </c>
      <c r="O874" s="1855">
        <v>2</v>
      </c>
    </row>
    <row r="875" spans="3:15" ht="13.5">
      <c r="C875" s="1861" t="s">
        <v>4665</v>
      </c>
      <c r="D875" s="1858">
        <v>0</v>
      </c>
      <c r="E875" s="1858">
        <v>0</v>
      </c>
      <c r="F875" s="1859">
        <v>0</v>
      </c>
      <c r="G875" s="1872" t="s">
        <v>4665</v>
      </c>
      <c r="H875" s="1856">
        <v>0</v>
      </c>
      <c r="I875" s="1856">
        <v>0</v>
      </c>
      <c r="J875" s="1873">
        <v>0</v>
      </c>
      <c r="K875" s="1860"/>
      <c r="L875" s="1854">
        <v>13077170700</v>
      </c>
      <c r="M875" s="1855">
        <v>0</v>
      </c>
      <c r="N875" s="1855">
        <v>0</v>
      </c>
      <c r="O875" s="1855">
        <v>0</v>
      </c>
    </row>
    <row r="876" spans="3:15" ht="13.5">
      <c r="C876" s="1861" t="s">
        <v>4666</v>
      </c>
      <c r="D876" s="1858">
        <v>0</v>
      </c>
      <c r="E876" s="1858">
        <v>1</v>
      </c>
      <c r="F876" s="1859">
        <v>1</v>
      </c>
      <c r="G876" s="1872" t="s">
        <v>4666</v>
      </c>
      <c r="H876" s="1856">
        <v>0</v>
      </c>
      <c r="I876" s="1856">
        <v>0</v>
      </c>
      <c r="J876" s="1873">
        <v>0</v>
      </c>
      <c r="K876" s="1860"/>
      <c r="L876" s="1854">
        <v>13077170801</v>
      </c>
      <c r="M876" s="1855">
        <v>0</v>
      </c>
      <c r="N876" s="1855">
        <v>1</v>
      </c>
      <c r="O876" s="1855">
        <v>1</v>
      </c>
    </row>
    <row r="877" spans="3:15" ht="13.5">
      <c r="C877" s="1861" t="s">
        <v>4667</v>
      </c>
      <c r="D877" s="1858">
        <v>1</v>
      </c>
      <c r="E877" s="1858">
        <v>1</v>
      </c>
      <c r="F877" s="1859">
        <v>2</v>
      </c>
      <c r="G877" s="1872" t="s">
        <v>4667</v>
      </c>
      <c r="H877" s="1856">
        <v>1</v>
      </c>
      <c r="I877" s="1856">
        <v>1</v>
      </c>
      <c r="J877" s="1873">
        <v>2</v>
      </c>
      <c r="K877" s="1860"/>
      <c r="L877" s="1854">
        <v>13077170802</v>
      </c>
      <c r="M877" s="1855">
        <v>1</v>
      </c>
      <c r="N877" s="1855">
        <v>1</v>
      </c>
      <c r="O877" s="1855">
        <v>2</v>
      </c>
    </row>
    <row r="878" spans="3:15" ht="13.5">
      <c r="C878" s="1861" t="s">
        <v>4668</v>
      </c>
      <c r="D878" s="1858">
        <v>0</v>
      </c>
      <c r="E878" s="1858">
        <v>0</v>
      </c>
      <c r="F878" s="1859">
        <v>0</v>
      </c>
      <c r="G878" s="1872" t="s">
        <v>4668</v>
      </c>
      <c r="H878" s="1856">
        <v>0</v>
      </c>
      <c r="I878" s="1856">
        <v>0</v>
      </c>
      <c r="J878" s="1873">
        <v>0</v>
      </c>
      <c r="K878" s="1860"/>
      <c r="L878" s="1854">
        <v>13079070100</v>
      </c>
      <c r="M878" s="1855">
        <v>0</v>
      </c>
      <c r="N878" s="1855">
        <v>0</v>
      </c>
      <c r="O878" s="1855">
        <v>0</v>
      </c>
    </row>
    <row r="879" spans="3:15" ht="13.5">
      <c r="C879" s="1861" t="s">
        <v>4669</v>
      </c>
      <c r="D879" s="1858">
        <v>0</v>
      </c>
      <c r="E879" s="1858">
        <v>1</v>
      </c>
      <c r="F879" s="1859">
        <v>1</v>
      </c>
      <c r="G879" s="1872" t="s">
        <v>4669</v>
      </c>
      <c r="H879" s="1856">
        <v>0</v>
      </c>
      <c r="I879" s="1856">
        <v>1</v>
      </c>
      <c r="J879" s="1873">
        <v>1</v>
      </c>
      <c r="K879" s="1860"/>
      <c r="L879" s="1854">
        <v>13079070201</v>
      </c>
      <c r="M879" s="1855">
        <v>0</v>
      </c>
      <c r="N879" s="1855">
        <v>1</v>
      </c>
      <c r="O879" s="1855">
        <v>1</v>
      </c>
    </row>
    <row r="880" spans="3:15" ht="13.5">
      <c r="C880" s="1861" t="s">
        <v>4670</v>
      </c>
      <c r="D880" s="1858">
        <v>0</v>
      </c>
      <c r="E880" s="1858">
        <v>1</v>
      </c>
      <c r="F880" s="1859">
        <v>1</v>
      </c>
      <c r="G880" s="1872" t="s">
        <v>4670</v>
      </c>
      <c r="H880" s="1856">
        <v>0</v>
      </c>
      <c r="I880" s="1856">
        <v>0</v>
      </c>
      <c r="J880" s="1873">
        <v>0</v>
      </c>
      <c r="K880" s="1860"/>
      <c r="L880" s="1854">
        <v>13079070202</v>
      </c>
      <c r="M880" s="1855">
        <v>0</v>
      </c>
      <c r="N880" s="1855">
        <v>1</v>
      </c>
      <c r="O880" s="1855">
        <v>1</v>
      </c>
    </row>
    <row r="881" spans="3:15" ht="13.5">
      <c r="C881" s="1861" t="s">
        <v>4671</v>
      </c>
      <c r="D881" s="1858">
        <v>0</v>
      </c>
      <c r="E881" s="1858">
        <v>0</v>
      </c>
      <c r="F881" s="1859">
        <v>0</v>
      </c>
      <c r="G881" s="1872" t="s">
        <v>4671</v>
      </c>
      <c r="H881" s="1856">
        <v>0</v>
      </c>
      <c r="I881" s="1856">
        <v>0</v>
      </c>
      <c r="J881" s="1873">
        <v>0</v>
      </c>
      <c r="K881" s="1860"/>
      <c r="L881" s="1854">
        <v>13081010100</v>
      </c>
      <c r="M881" s="1855">
        <v>0</v>
      </c>
      <c r="N881" s="1855">
        <v>0</v>
      </c>
      <c r="O881" s="1855">
        <v>0</v>
      </c>
    </row>
    <row r="882" spans="3:15" ht="13.5">
      <c r="C882" s="1861" t="s">
        <v>4672</v>
      </c>
      <c r="D882" s="1858">
        <v>0</v>
      </c>
      <c r="E882" s="1858">
        <v>0</v>
      </c>
      <c r="F882" s="1859">
        <v>0</v>
      </c>
      <c r="G882" s="1872" t="s">
        <v>4672</v>
      </c>
      <c r="H882" s="1856">
        <v>0</v>
      </c>
      <c r="I882" s="1856">
        <v>0</v>
      </c>
      <c r="J882" s="1873">
        <v>0</v>
      </c>
      <c r="K882" s="1860"/>
      <c r="L882" s="1854">
        <v>13081010201</v>
      </c>
      <c r="M882" s="1855">
        <v>0</v>
      </c>
      <c r="N882" s="1855">
        <v>0</v>
      </c>
      <c r="O882" s="1855">
        <v>0</v>
      </c>
    </row>
    <row r="883" spans="3:15" ht="13.5">
      <c r="C883" s="1861" t="s">
        <v>4673</v>
      </c>
      <c r="D883" s="1858">
        <v>0</v>
      </c>
      <c r="E883" s="1858">
        <v>0</v>
      </c>
      <c r="F883" s="1859">
        <v>0</v>
      </c>
      <c r="G883" s="1872" t="s">
        <v>4673</v>
      </c>
      <c r="H883" s="1856">
        <v>0</v>
      </c>
      <c r="I883" s="1856">
        <v>0</v>
      </c>
      <c r="J883" s="1873">
        <v>0</v>
      </c>
      <c r="K883" s="1860"/>
      <c r="L883" s="1854">
        <v>13081010202</v>
      </c>
      <c r="M883" s="1855">
        <v>0</v>
      </c>
      <c r="N883" s="1855">
        <v>0</v>
      </c>
      <c r="O883" s="1855">
        <v>0</v>
      </c>
    </row>
    <row r="884" spans="3:15" ht="13.5">
      <c r="C884" s="1861" t="s">
        <v>4674</v>
      </c>
      <c r="D884" s="1858">
        <v>0</v>
      </c>
      <c r="E884" s="1858">
        <v>0</v>
      </c>
      <c r="F884" s="1859">
        <v>0</v>
      </c>
      <c r="G884" s="1872" t="s">
        <v>4674</v>
      </c>
      <c r="H884" s="1856">
        <v>0</v>
      </c>
      <c r="I884" s="1856">
        <v>0</v>
      </c>
      <c r="J884" s="1873">
        <v>0</v>
      </c>
      <c r="K884" s="1860"/>
      <c r="L884" s="1854">
        <v>13081010300</v>
      </c>
      <c r="M884" s="1855">
        <v>0</v>
      </c>
      <c r="N884" s="1855">
        <v>0</v>
      </c>
      <c r="O884" s="1855">
        <v>0</v>
      </c>
    </row>
    <row r="885" spans="3:15" ht="13.5">
      <c r="C885" s="1861" t="s">
        <v>4675</v>
      </c>
      <c r="D885" s="1858">
        <v>0</v>
      </c>
      <c r="E885" s="1858">
        <v>0</v>
      </c>
      <c r="F885" s="1859">
        <v>0</v>
      </c>
      <c r="G885" s="1872" t="s">
        <v>4675</v>
      </c>
      <c r="H885" s="1856">
        <v>0</v>
      </c>
      <c r="I885" s="1856">
        <v>0</v>
      </c>
      <c r="J885" s="1873">
        <v>0</v>
      </c>
      <c r="K885" s="1860"/>
      <c r="L885" s="1854">
        <v>13081010400</v>
      </c>
      <c r="M885" s="1855">
        <v>0</v>
      </c>
      <c r="N885" s="1855">
        <v>0</v>
      </c>
      <c r="O885" s="1855">
        <v>0</v>
      </c>
    </row>
    <row r="886" spans="3:15" ht="13.5">
      <c r="C886" s="1861" t="s">
        <v>4676</v>
      </c>
      <c r="D886" s="1858">
        <v>0</v>
      </c>
      <c r="E886" s="1858">
        <v>0</v>
      </c>
      <c r="F886" s="1859">
        <v>0</v>
      </c>
      <c r="G886" s="1872" t="s">
        <v>4676</v>
      </c>
      <c r="H886" s="1856">
        <v>0</v>
      </c>
      <c r="I886" s="1856">
        <v>0</v>
      </c>
      <c r="J886" s="1873">
        <v>0</v>
      </c>
      <c r="K886" s="1860"/>
      <c r="L886" s="1854">
        <v>13081010500</v>
      </c>
      <c r="M886" s="1855">
        <v>0</v>
      </c>
      <c r="N886" s="1855">
        <v>0</v>
      </c>
      <c r="O886" s="1855">
        <v>0</v>
      </c>
    </row>
    <row r="887" spans="3:15" ht="13.5">
      <c r="C887" s="1861" t="s">
        <v>4677</v>
      </c>
      <c r="D887" s="1858">
        <v>0</v>
      </c>
      <c r="E887" s="1858">
        <v>0</v>
      </c>
      <c r="F887" s="1859">
        <v>0</v>
      </c>
      <c r="G887" s="1872" t="s">
        <v>4677</v>
      </c>
      <c r="H887" s="1856">
        <v>0</v>
      </c>
      <c r="I887" s="1856">
        <v>0</v>
      </c>
      <c r="J887" s="1873">
        <v>0</v>
      </c>
      <c r="K887" s="1860"/>
      <c r="L887" s="1854">
        <v>13083040101</v>
      </c>
      <c r="M887" s="1855">
        <v>0</v>
      </c>
      <c r="N887" s="1855">
        <v>0</v>
      </c>
      <c r="O887" s="1855">
        <v>0</v>
      </c>
    </row>
    <row r="888" spans="3:15" ht="13.5">
      <c r="C888" s="1861" t="s">
        <v>4678</v>
      </c>
      <c r="D888" s="1858">
        <v>1</v>
      </c>
      <c r="E888" s="1858">
        <v>1</v>
      </c>
      <c r="F888" s="1859">
        <v>2</v>
      </c>
      <c r="G888" s="1872" t="s">
        <v>4678</v>
      </c>
      <c r="H888" s="1856">
        <v>0</v>
      </c>
      <c r="I888" s="1856">
        <v>1</v>
      </c>
      <c r="J888" s="1873">
        <v>1</v>
      </c>
      <c r="K888" s="1860"/>
      <c r="L888" s="1854">
        <v>13083040102</v>
      </c>
      <c r="M888" s="1855">
        <v>1</v>
      </c>
      <c r="N888" s="1855">
        <v>1</v>
      </c>
      <c r="O888" s="1855">
        <v>2</v>
      </c>
    </row>
    <row r="889" spans="3:15" ht="13.5">
      <c r="C889" s="1861" t="s">
        <v>4679</v>
      </c>
      <c r="D889" s="1858">
        <v>0</v>
      </c>
      <c r="E889" s="1858">
        <v>0</v>
      </c>
      <c r="F889" s="1859">
        <v>0</v>
      </c>
      <c r="G889" s="1872" t="s">
        <v>4679</v>
      </c>
      <c r="H889" s="1856">
        <v>0</v>
      </c>
      <c r="I889" s="1856">
        <v>0</v>
      </c>
      <c r="J889" s="1873">
        <v>0</v>
      </c>
      <c r="K889" s="1860"/>
      <c r="L889" s="1854">
        <v>13083040200</v>
      </c>
      <c r="M889" s="1855">
        <v>0</v>
      </c>
      <c r="N889" s="1855">
        <v>0</v>
      </c>
      <c r="O889" s="1855">
        <v>0</v>
      </c>
    </row>
    <row r="890" spans="3:15" ht="13.5">
      <c r="C890" s="1861" t="s">
        <v>4680</v>
      </c>
      <c r="D890" s="1858">
        <v>1</v>
      </c>
      <c r="E890" s="1858">
        <v>1</v>
      </c>
      <c r="F890" s="1859">
        <v>2</v>
      </c>
      <c r="G890" s="1872" t="s">
        <v>4680</v>
      </c>
      <c r="H890" s="1856">
        <v>0</v>
      </c>
      <c r="I890" s="1856">
        <v>1</v>
      </c>
      <c r="J890" s="1873">
        <v>1</v>
      </c>
      <c r="K890" s="1860"/>
      <c r="L890" s="1854">
        <v>13083040300</v>
      </c>
      <c r="M890" s="1855">
        <v>1</v>
      </c>
      <c r="N890" s="1855">
        <v>1</v>
      </c>
      <c r="O890" s="1855">
        <v>2</v>
      </c>
    </row>
    <row r="891" spans="3:15" ht="13.5">
      <c r="C891" s="1861" t="s">
        <v>4681</v>
      </c>
      <c r="D891" s="1858">
        <v>1</v>
      </c>
      <c r="E891" s="1858">
        <v>1</v>
      </c>
      <c r="F891" s="1859">
        <v>2</v>
      </c>
      <c r="G891" s="1872" t="s">
        <v>4681</v>
      </c>
      <c r="H891" s="1856">
        <v>1</v>
      </c>
      <c r="I891" s="1856">
        <v>1</v>
      </c>
      <c r="J891" s="1873">
        <v>2</v>
      </c>
      <c r="K891" s="1860"/>
      <c r="L891" s="1854">
        <v>13085970100</v>
      </c>
      <c r="M891" s="1855">
        <v>1</v>
      </c>
      <c r="N891" s="1855">
        <v>1</v>
      </c>
      <c r="O891" s="1855">
        <v>2</v>
      </c>
    </row>
    <row r="892" spans="3:15" ht="13.5">
      <c r="C892" s="1861" t="s">
        <v>4682</v>
      </c>
      <c r="D892" s="1858">
        <v>1</v>
      </c>
      <c r="E892" s="1858">
        <v>1</v>
      </c>
      <c r="F892" s="1859">
        <v>2</v>
      </c>
      <c r="G892" s="1872" t="s">
        <v>4682</v>
      </c>
      <c r="H892" s="1856">
        <v>1</v>
      </c>
      <c r="I892" s="1856">
        <v>1</v>
      </c>
      <c r="J892" s="1873">
        <v>2</v>
      </c>
      <c r="K892" s="1860"/>
      <c r="L892" s="1854">
        <v>13085970201</v>
      </c>
      <c r="M892" s="1855">
        <v>1</v>
      </c>
      <c r="N892" s="1855">
        <v>1</v>
      </c>
      <c r="O892" s="1855">
        <v>2</v>
      </c>
    </row>
    <row r="893" spans="3:15" ht="13.5">
      <c r="C893" s="1861" t="s">
        <v>4683</v>
      </c>
      <c r="D893" s="1858">
        <v>0</v>
      </c>
      <c r="E893" s="1858">
        <v>1</v>
      </c>
      <c r="F893" s="1859">
        <v>1</v>
      </c>
      <c r="G893" s="1872" t="s">
        <v>4683</v>
      </c>
      <c r="H893" s="1856">
        <v>1</v>
      </c>
      <c r="I893" s="1856">
        <v>0</v>
      </c>
      <c r="J893" s="1873">
        <v>1</v>
      </c>
      <c r="K893" s="1860"/>
      <c r="L893" s="1854">
        <v>13085970202</v>
      </c>
      <c r="M893" s="1855">
        <v>1</v>
      </c>
      <c r="N893" s="1855">
        <v>1</v>
      </c>
      <c r="O893" s="1855">
        <v>1</v>
      </c>
    </row>
    <row r="894" spans="3:15" ht="13.5">
      <c r="C894" s="1861" t="s">
        <v>4684</v>
      </c>
      <c r="D894" s="1858">
        <v>1</v>
      </c>
      <c r="E894" s="1858">
        <v>0</v>
      </c>
      <c r="F894" s="1859">
        <v>1</v>
      </c>
      <c r="G894" s="1872" t="s">
        <v>4684</v>
      </c>
      <c r="H894" s="1856">
        <v>0</v>
      </c>
      <c r="I894" s="1856">
        <v>0</v>
      </c>
      <c r="J894" s="1873">
        <v>0</v>
      </c>
      <c r="K894" s="1860"/>
      <c r="L894" s="1854">
        <v>13087970100</v>
      </c>
      <c r="M894" s="1855">
        <v>1</v>
      </c>
      <c r="N894" s="1855">
        <v>0</v>
      </c>
      <c r="O894" s="1855">
        <v>1</v>
      </c>
    </row>
    <row r="895" spans="3:15" ht="13.5">
      <c r="C895" s="1861" t="s">
        <v>4685</v>
      </c>
      <c r="D895" s="1858">
        <v>0</v>
      </c>
      <c r="E895" s="1858">
        <v>0</v>
      </c>
      <c r="F895" s="1859">
        <v>0</v>
      </c>
      <c r="G895" s="1872" t="s">
        <v>4685</v>
      </c>
      <c r="H895" s="1856">
        <v>0</v>
      </c>
      <c r="I895" s="1856">
        <v>0</v>
      </c>
      <c r="J895" s="1873">
        <v>0</v>
      </c>
      <c r="K895" s="1860"/>
      <c r="L895" s="1854">
        <v>13087970200</v>
      </c>
      <c r="M895" s="1855">
        <v>0</v>
      </c>
      <c r="N895" s="1855">
        <v>0</v>
      </c>
      <c r="O895" s="1855">
        <v>0</v>
      </c>
    </row>
    <row r="896" spans="3:15" ht="13.5">
      <c r="C896" s="1861" t="s">
        <v>4686</v>
      </c>
      <c r="D896" s="1858">
        <v>0</v>
      </c>
      <c r="E896" s="1858">
        <v>0</v>
      </c>
      <c r="F896" s="1859">
        <v>0</v>
      </c>
      <c r="G896" s="1872" t="s">
        <v>4686</v>
      </c>
      <c r="H896" s="1856">
        <v>0</v>
      </c>
      <c r="I896" s="1856">
        <v>0</v>
      </c>
      <c r="J896" s="1873">
        <v>0</v>
      </c>
      <c r="K896" s="1860"/>
      <c r="L896" s="1854">
        <v>13087970300</v>
      </c>
      <c r="M896" s="1855">
        <v>0</v>
      </c>
      <c r="N896" s="1855">
        <v>0</v>
      </c>
      <c r="O896" s="1855">
        <v>0</v>
      </c>
    </row>
    <row r="897" spans="3:15" ht="13.5">
      <c r="C897" s="1861" t="s">
        <v>4687</v>
      </c>
      <c r="D897" s="1858">
        <v>0</v>
      </c>
      <c r="E897" s="1858">
        <v>0</v>
      </c>
      <c r="F897" s="1859">
        <v>0</v>
      </c>
      <c r="G897" s="1872" t="s">
        <v>4687</v>
      </c>
      <c r="H897" s="1856">
        <v>0</v>
      </c>
      <c r="I897" s="1856">
        <v>0</v>
      </c>
      <c r="J897" s="1873">
        <v>0</v>
      </c>
      <c r="K897" s="1860"/>
      <c r="L897" s="1854">
        <v>13087970400</v>
      </c>
      <c r="M897" s="1855">
        <v>0</v>
      </c>
      <c r="N897" s="1855">
        <v>0</v>
      </c>
      <c r="O897" s="1855">
        <v>0</v>
      </c>
    </row>
    <row r="898" spans="3:15" ht="13.5">
      <c r="C898" s="1861" t="s">
        <v>4688</v>
      </c>
      <c r="D898" s="1858">
        <v>1</v>
      </c>
      <c r="E898" s="1858">
        <v>0</v>
      </c>
      <c r="F898" s="1859">
        <v>1</v>
      </c>
      <c r="G898" s="1872" t="s">
        <v>4688</v>
      </c>
      <c r="H898" s="1856">
        <v>0</v>
      </c>
      <c r="I898" s="1856">
        <v>1</v>
      </c>
      <c r="J898" s="1873">
        <v>1</v>
      </c>
      <c r="K898" s="1860"/>
      <c r="L898" s="1854">
        <v>13087970600</v>
      </c>
      <c r="M898" s="1855">
        <v>1</v>
      </c>
      <c r="N898" s="1855">
        <v>1</v>
      </c>
      <c r="O898" s="1855">
        <v>1</v>
      </c>
    </row>
    <row r="899" spans="3:15" ht="13.5">
      <c r="C899" s="1861" t="s">
        <v>4689</v>
      </c>
      <c r="D899" s="1858">
        <v>0</v>
      </c>
      <c r="E899" s="1858">
        <v>0</v>
      </c>
      <c r="F899" s="1859">
        <v>0</v>
      </c>
      <c r="G899" s="1872" t="s">
        <v>4689</v>
      </c>
      <c r="H899" s="1856">
        <v>0</v>
      </c>
      <c r="I899" s="1856">
        <v>0</v>
      </c>
      <c r="J899" s="1873">
        <v>0</v>
      </c>
      <c r="K899" s="1860"/>
      <c r="L899" s="1854">
        <v>13087970700</v>
      </c>
      <c r="M899" s="1855">
        <v>0</v>
      </c>
      <c r="N899" s="1855">
        <v>0</v>
      </c>
      <c r="O899" s="1855">
        <v>0</v>
      </c>
    </row>
    <row r="900" spans="3:15" ht="13.5">
      <c r="C900" s="1861" t="s">
        <v>4690</v>
      </c>
      <c r="D900" s="1858">
        <v>0</v>
      </c>
      <c r="E900" s="1858">
        <v>0</v>
      </c>
      <c r="F900" s="1859">
        <v>0</v>
      </c>
      <c r="G900" s="1872" t="s">
        <v>4690</v>
      </c>
      <c r="H900" s="1856">
        <v>0</v>
      </c>
      <c r="I900" s="1856">
        <v>0</v>
      </c>
      <c r="J900" s="1873">
        <v>0</v>
      </c>
      <c r="K900" s="1860"/>
      <c r="L900" s="1854">
        <v>13087970800</v>
      </c>
      <c r="M900" s="1855">
        <v>0</v>
      </c>
      <c r="N900" s="1855">
        <v>0</v>
      </c>
      <c r="O900" s="1855">
        <v>0</v>
      </c>
    </row>
    <row r="901" spans="3:15" ht="13.5">
      <c r="C901" s="1861" t="s">
        <v>4691</v>
      </c>
      <c r="D901" s="1858">
        <v>1</v>
      </c>
      <c r="E901" s="1858">
        <v>1</v>
      </c>
      <c r="F901" s="1859">
        <v>2</v>
      </c>
      <c r="G901" s="1872" t="s">
        <v>4691</v>
      </c>
      <c r="H901" s="1856">
        <v>1</v>
      </c>
      <c r="I901" s="1856">
        <v>1</v>
      </c>
      <c r="J901" s="1873">
        <v>2</v>
      </c>
      <c r="K901" s="1860"/>
      <c r="L901" s="1854">
        <v>13089020100</v>
      </c>
      <c r="M901" s="1855">
        <v>1</v>
      </c>
      <c r="N901" s="1855">
        <v>1</v>
      </c>
      <c r="O901" s="1855">
        <v>2</v>
      </c>
    </row>
    <row r="902" spans="3:15" ht="13.5">
      <c r="C902" s="1861" t="s">
        <v>4692</v>
      </c>
      <c r="D902" s="1858">
        <v>1</v>
      </c>
      <c r="E902" s="1858">
        <v>1</v>
      </c>
      <c r="F902" s="1859">
        <v>2</v>
      </c>
      <c r="G902" s="1872" t="s">
        <v>4692</v>
      </c>
      <c r="H902" s="1856">
        <v>1</v>
      </c>
      <c r="I902" s="1856">
        <v>1</v>
      </c>
      <c r="J902" s="1873">
        <v>2</v>
      </c>
      <c r="K902" s="1860"/>
      <c r="L902" s="1854">
        <v>13089020200</v>
      </c>
      <c r="M902" s="1855">
        <v>1</v>
      </c>
      <c r="N902" s="1855">
        <v>1</v>
      </c>
      <c r="O902" s="1855">
        <v>2</v>
      </c>
    </row>
    <row r="903" spans="3:15" ht="13.5">
      <c r="C903" s="1861" t="s">
        <v>4693</v>
      </c>
      <c r="D903" s="1858">
        <v>1</v>
      </c>
      <c r="E903" s="1858">
        <v>1</v>
      </c>
      <c r="F903" s="1859">
        <v>2</v>
      </c>
      <c r="G903" s="1872" t="s">
        <v>4693</v>
      </c>
      <c r="H903" s="1856">
        <v>1</v>
      </c>
      <c r="I903" s="1856" t="s">
        <v>3909</v>
      </c>
      <c r="J903" s="1873">
        <v>1</v>
      </c>
      <c r="K903" s="1860"/>
      <c r="L903" s="1854">
        <v>13089020300</v>
      </c>
      <c r="M903" s="1855">
        <v>1</v>
      </c>
      <c r="N903" s="1855">
        <v>1</v>
      </c>
      <c r="O903" s="1855">
        <v>2</v>
      </c>
    </row>
    <row r="904" spans="3:15" ht="13.5">
      <c r="C904" s="1861" t="s">
        <v>4694</v>
      </c>
      <c r="D904" s="1858">
        <v>1</v>
      </c>
      <c r="E904" s="1858">
        <v>1</v>
      </c>
      <c r="F904" s="1859">
        <v>2</v>
      </c>
      <c r="G904" s="1872" t="s">
        <v>4694</v>
      </c>
      <c r="H904" s="1856">
        <v>1</v>
      </c>
      <c r="I904" s="1856" t="s">
        <v>3909</v>
      </c>
      <c r="J904" s="1873">
        <v>1</v>
      </c>
      <c r="K904" s="1860"/>
      <c r="L904" s="1854">
        <v>13089020400</v>
      </c>
      <c r="M904" s="1855">
        <v>1</v>
      </c>
      <c r="N904" s="1855">
        <v>1</v>
      </c>
      <c r="O904" s="1855">
        <v>2</v>
      </c>
    </row>
    <row r="905" spans="3:15" ht="13.5">
      <c r="C905" s="1861" t="s">
        <v>4695</v>
      </c>
      <c r="D905" s="1858">
        <v>0</v>
      </c>
      <c r="E905" s="1858">
        <v>0</v>
      </c>
      <c r="F905" s="1859">
        <v>0</v>
      </c>
      <c r="G905" s="1872" t="s">
        <v>4695</v>
      </c>
      <c r="H905" s="1856">
        <v>0</v>
      </c>
      <c r="I905" s="1856">
        <v>0</v>
      </c>
      <c r="J905" s="1873">
        <v>0</v>
      </c>
      <c r="K905" s="1860"/>
      <c r="L905" s="1854">
        <v>13089020500</v>
      </c>
      <c r="M905" s="1855">
        <v>0</v>
      </c>
      <c r="N905" s="1855">
        <v>0</v>
      </c>
      <c r="O905" s="1855">
        <v>0</v>
      </c>
    </row>
    <row r="906" spans="3:15" ht="13.5">
      <c r="C906" s="1861" t="s">
        <v>4696</v>
      </c>
      <c r="D906" s="1858">
        <v>0</v>
      </c>
      <c r="E906" s="1858">
        <v>0</v>
      </c>
      <c r="F906" s="1859">
        <v>0</v>
      </c>
      <c r="G906" s="1872" t="s">
        <v>4696</v>
      </c>
      <c r="H906" s="1856">
        <v>0</v>
      </c>
      <c r="I906" s="1856">
        <v>0</v>
      </c>
      <c r="J906" s="1873">
        <v>0</v>
      </c>
      <c r="K906" s="1860"/>
      <c r="L906" s="1854">
        <v>13089020600</v>
      </c>
      <c r="M906" s="1855">
        <v>0</v>
      </c>
      <c r="N906" s="1855">
        <v>0</v>
      </c>
      <c r="O906" s="1855">
        <v>0</v>
      </c>
    </row>
    <row r="907" spans="3:15" ht="13.5">
      <c r="C907" s="1861" t="s">
        <v>4697</v>
      </c>
      <c r="D907" s="1858">
        <v>1</v>
      </c>
      <c r="E907" s="1858">
        <v>0</v>
      </c>
      <c r="F907" s="1859">
        <v>1</v>
      </c>
      <c r="G907" s="1872" t="s">
        <v>4697</v>
      </c>
      <c r="H907" s="1856">
        <v>1</v>
      </c>
      <c r="I907" s="1856">
        <v>1</v>
      </c>
      <c r="J907" s="1873">
        <v>2</v>
      </c>
      <c r="K907" s="1860"/>
      <c r="L907" s="1854">
        <v>13089020700</v>
      </c>
      <c r="M907" s="1855">
        <v>1</v>
      </c>
      <c r="N907" s="1855">
        <v>1</v>
      </c>
      <c r="O907" s="1855">
        <v>2</v>
      </c>
    </row>
    <row r="908" spans="3:15" ht="13.5">
      <c r="C908" s="1861" t="s">
        <v>4698</v>
      </c>
      <c r="D908" s="1858">
        <v>1</v>
      </c>
      <c r="E908" s="1858">
        <v>1</v>
      </c>
      <c r="F908" s="1859">
        <v>2</v>
      </c>
      <c r="G908" s="1872" t="s">
        <v>4698</v>
      </c>
      <c r="H908" s="1856">
        <v>1</v>
      </c>
      <c r="I908" s="1856">
        <v>1</v>
      </c>
      <c r="J908" s="1873">
        <v>2</v>
      </c>
      <c r="K908" s="1860"/>
      <c r="L908" s="1854">
        <v>13089020801</v>
      </c>
      <c r="M908" s="1855">
        <v>1</v>
      </c>
      <c r="N908" s="1855">
        <v>1</v>
      </c>
      <c r="O908" s="1855">
        <v>2</v>
      </c>
    </row>
    <row r="909" spans="3:15" ht="13.5">
      <c r="C909" s="1861" t="s">
        <v>4699</v>
      </c>
      <c r="D909" s="1858">
        <v>1</v>
      </c>
      <c r="E909" s="1858">
        <v>0</v>
      </c>
      <c r="F909" s="1859">
        <v>1</v>
      </c>
      <c r="G909" s="1872" t="s">
        <v>4699</v>
      </c>
      <c r="H909" s="1856">
        <v>1</v>
      </c>
      <c r="I909" s="1856">
        <v>0</v>
      </c>
      <c r="J909" s="1873">
        <v>1</v>
      </c>
      <c r="K909" s="1860"/>
      <c r="L909" s="1854">
        <v>13089020802</v>
      </c>
      <c r="M909" s="1855">
        <v>1</v>
      </c>
      <c r="N909" s="1855">
        <v>0</v>
      </c>
      <c r="O909" s="1855">
        <v>1</v>
      </c>
    </row>
    <row r="910" spans="3:15" ht="13.5">
      <c r="C910" s="1861" t="s">
        <v>4700</v>
      </c>
      <c r="D910" s="1858">
        <v>1</v>
      </c>
      <c r="E910" s="1858">
        <v>0</v>
      </c>
      <c r="F910" s="1859">
        <v>1</v>
      </c>
      <c r="G910" s="1872" t="s">
        <v>4700</v>
      </c>
      <c r="H910" s="1856">
        <v>1</v>
      </c>
      <c r="I910" s="1856">
        <v>0</v>
      </c>
      <c r="J910" s="1873">
        <v>1</v>
      </c>
      <c r="K910" s="1860"/>
      <c r="L910" s="1854">
        <v>13089020900</v>
      </c>
      <c r="M910" s="1855">
        <v>1</v>
      </c>
      <c r="N910" s="1855">
        <v>0</v>
      </c>
      <c r="O910" s="1855">
        <v>1</v>
      </c>
    </row>
    <row r="911" spans="3:15" ht="13.5">
      <c r="C911" s="1861" t="s">
        <v>4701</v>
      </c>
      <c r="D911" s="1858">
        <v>1</v>
      </c>
      <c r="E911" s="1858">
        <v>1</v>
      </c>
      <c r="F911" s="1859">
        <v>2</v>
      </c>
      <c r="G911" s="1872" t="s">
        <v>4701</v>
      </c>
      <c r="H911" s="1856">
        <v>1</v>
      </c>
      <c r="I911" s="1856">
        <v>1</v>
      </c>
      <c r="J911" s="1873">
        <v>2</v>
      </c>
      <c r="K911" s="1860"/>
      <c r="L911" s="1854">
        <v>13089021101</v>
      </c>
      <c r="M911" s="1855">
        <v>1</v>
      </c>
      <c r="N911" s="1855">
        <v>1</v>
      </c>
      <c r="O911" s="1855">
        <v>2</v>
      </c>
    </row>
    <row r="912" spans="3:15" ht="13.5">
      <c r="C912" s="1861" t="s">
        <v>4702</v>
      </c>
      <c r="D912" s="1858">
        <v>1</v>
      </c>
      <c r="E912" s="1858">
        <v>1</v>
      </c>
      <c r="F912" s="1859">
        <v>2</v>
      </c>
      <c r="G912" s="1872" t="s">
        <v>4702</v>
      </c>
      <c r="H912" s="1856">
        <v>1</v>
      </c>
      <c r="I912" s="1856">
        <v>1</v>
      </c>
      <c r="J912" s="1873">
        <v>2</v>
      </c>
      <c r="K912" s="1860"/>
      <c r="L912" s="1854">
        <v>13089021102</v>
      </c>
      <c r="M912" s="1855">
        <v>1</v>
      </c>
      <c r="N912" s="1855">
        <v>1</v>
      </c>
      <c r="O912" s="1855">
        <v>2</v>
      </c>
    </row>
    <row r="913" spans="3:15" ht="13.5">
      <c r="C913" s="1861" t="s">
        <v>4703</v>
      </c>
      <c r="D913" s="1858">
        <v>1</v>
      </c>
      <c r="E913" s="1858">
        <v>1</v>
      </c>
      <c r="F913" s="1859">
        <v>2</v>
      </c>
      <c r="G913" s="1872" t="s">
        <v>4703</v>
      </c>
      <c r="H913" s="1856">
        <v>1</v>
      </c>
      <c r="I913" s="1856">
        <v>1</v>
      </c>
      <c r="J913" s="1873">
        <v>2</v>
      </c>
      <c r="K913" s="1860"/>
      <c r="L913" s="1854">
        <v>13089021202</v>
      </c>
      <c r="M913" s="1855">
        <v>1</v>
      </c>
      <c r="N913" s="1855">
        <v>1</v>
      </c>
      <c r="O913" s="1855">
        <v>2</v>
      </c>
    </row>
    <row r="914" spans="3:15" ht="13.5">
      <c r="C914" s="1861" t="s">
        <v>4704</v>
      </c>
      <c r="D914" s="1858">
        <v>0</v>
      </c>
      <c r="E914" s="1858">
        <v>0</v>
      </c>
      <c r="F914" s="1859">
        <v>0</v>
      </c>
      <c r="G914" s="1872" t="s">
        <v>4704</v>
      </c>
      <c r="H914" s="1856">
        <v>0</v>
      </c>
      <c r="I914" s="1856" t="s">
        <v>3909</v>
      </c>
      <c r="J914" s="1873">
        <v>0</v>
      </c>
      <c r="K914" s="1860"/>
      <c r="L914" s="1854">
        <v>13089021204</v>
      </c>
      <c r="M914" s="1855">
        <v>0</v>
      </c>
      <c r="N914" s="1855">
        <v>0</v>
      </c>
      <c r="O914" s="1855">
        <v>0</v>
      </c>
    </row>
    <row r="915" spans="3:15" ht="13.5">
      <c r="C915" s="1861" t="s">
        <v>4705</v>
      </c>
      <c r="D915" s="1858">
        <v>1</v>
      </c>
      <c r="E915" s="1858">
        <v>1</v>
      </c>
      <c r="F915" s="1859">
        <v>2</v>
      </c>
      <c r="G915" s="1872" t="s">
        <v>4705</v>
      </c>
      <c r="H915" s="1856">
        <v>1</v>
      </c>
      <c r="I915" s="1856">
        <v>1</v>
      </c>
      <c r="J915" s="1873">
        <v>2</v>
      </c>
      <c r="K915" s="1860"/>
      <c r="L915" s="1854">
        <v>13089021208</v>
      </c>
      <c r="M915" s="1855">
        <v>1</v>
      </c>
      <c r="N915" s="1855">
        <v>1</v>
      </c>
      <c r="O915" s="1855">
        <v>2</v>
      </c>
    </row>
    <row r="916" spans="3:15" ht="13.5">
      <c r="C916" s="1861" t="s">
        <v>4706</v>
      </c>
      <c r="D916" s="1858">
        <v>1</v>
      </c>
      <c r="E916" s="1858">
        <v>1</v>
      </c>
      <c r="F916" s="1859">
        <v>2</v>
      </c>
      <c r="G916" s="1872" t="s">
        <v>4706</v>
      </c>
      <c r="H916" s="1856">
        <v>1</v>
      </c>
      <c r="I916" s="1856">
        <v>1</v>
      </c>
      <c r="J916" s="1873">
        <v>2</v>
      </c>
      <c r="K916" s="1860"/>
      <c r="L916" s="1854">
        <v>13089021209</v>
      </c>
      <c r="M916" s="1855">
        <v>1</v>
      </c>
      <c r="N916" s="1855">
        <v>1</v>
      </c>
      <c r="O916" s="1855">
        <v>2</v>
      </c>
    </row>
    <row r="917" spans="3:15" ht="13.5">
      <c r="C917" s="1861" t="s">
        <v>4707</v>
      </c>
      <c r="D917" s="1858">
        <v>1</v>
      </c>
      <c r="E917" s="1858">
        <v>1</v>
      </c>
      <c r="F917" s="1859">
        <v>2</v>
      </c>
      <c r="G917" s="1872" t="s">
        <v>4707</v>
      </c>
      <c r="H917" s="1856">
        <v>1</v>
      </c>
      <c r="I917" s="1856">
        <v>1</v>
      </c>
      <c r="J917" s="1873">
        <v>2</v>
      </c>
      <c r="K917" s="1860"/>
      <c r="L917" s="1854">
        <v>13089021210</v>
      </c>
      <c r="M917" s="1855">
        <v>1</v>
      </c>
      <c r="N917" s="1855">
        <v>1</v>
      </c>
      <c r="O917" s="1855">
        <v>2</v>
      </c>
    </row>
    <row r="918" spans="3:15" ht="13.5">
      <c r="C918" s="1861" t="s">
        <v>4708</v>
      </c>
      <c r="D918" s="1858">
        <v>1</v>
      </c>
      <c r="E918" s="1858">
        <v>1</v>
      </c>
      <c r="F918" s="1859">
        <v>2</v>
      </c>
      <c r="G918" s="1872" t="s">
        <v>4708</v>
      </c>
      <c r="H918" s="1856">
        <v>1</v>
      </c>
      <c r="I918" s="1856">
        <v>1</v>
      </c>
      <c r="J918" s="1873">
        <v>2</v>
      </c>
      <c r="K918" s="1860"/>
      <c r="L918" s="1854">
        <v>13089021211</v>
      </c>
      <c r="M918" s="1855">
        <v>1</v>
      </c>
      <c r="N918" s="1855">
        <v>1</v>
      </c>
      <c r="O918" s="1855">
        <v>2</v>
      </c>
    </row>
    <row r="919" spans="3:15" ht="13.5">
      <c r="C919" s="1861" t="s">
        <v>4709</v>
      </c>
      <c r="D919" s="1858">
        <v>1</v>
      </c>
      <c r="E919" s="1858">
        <v>1</v>
      </c>
      <c r="F919" s="1859">
        <v>2</v>
      </c>
      <c r="G919" s="1872" t="s">
        <v>4709</v>
      </c>
      <c r="H919" s="1856">
        <v>1</v>
      </c>
      <c r="I919" s="1856">
        <v>1</v>
      </c>
      <c r="J919" s="1873">
        <v>2</v>
      </c>
      <c r="K919" s="1860"/>
      <c r="L919" s="1854">
        <v>13089021213</v>
      </c>
      <c r="M919" s="1855">
        <v>1</v>
      </c>
      <c r="N919" s="1855">
        <v>1</v>
      </c>
      <c r="O919" s="1855">
        <v>2</v>
      </c>
    </row>
    <row r="920" spans="3:15" ht="13.5">
      <c r="C920" s="1861" t="s">
        <v>4710</v>
      </c>
      <c r="D920" s="1858">
        <v>1</v>
      </c>
      <c r="E920" s="1858">
        <v>1</v>
      </c>
      <c r="F920" s="1859">
        <v>2</v>
      </c>
      <c r="G920" s="1872" t="s">
        <v>4710</v>
      </c>
      <c r="H920" s="1856">
        <v>1</v>
      </c>
      <c r="I920" s="1856" t="s">
        <v>3909</v>
      </c>
      <c r="J920" s="1873">
        <v>1</v>
      </c>
      <c r="K920" s="1860"/>
      <c r="L920" s="1854">
        <v>13089021214</v>
      </c>
      <c r="M920" s="1855">
        <v>1</v>
      </c>
      <c r="N920" s="1855">
        <v>1</v>
      </c>
      <c r="O920" s="1855">
        <v>2</v>
      </c>
    </row>
    <row r="921" spans="3:15" ht="13.5">
      <c r="C921" s="1861" t="s">
        <v>4711</v>
      </c>
      <c r="D921" s="1858">
        <v>1</v>
      </c>
      <c r="E921" s="1858">
        <v>1</v>
      </c>
      <c r="F921" s="1859">
        <v>2</v>
      </c>
      <c r="G921" s="1872" t="s">
        <v>4711</v>
      </c>
      <c r="H921" s="1856">
        <v>1</v>
      </c>
      <c r="I921" s="1856">
        <v>1</v>
      </c>
      <c r="J921" s="1873">
        <v>2</v>
      </c>
      <c r="K921" s="1860"/>
      <c r="L921" s="1854">
        <v>13089021215</v>
      </c>
      <c r="M921" s="1855">
        <v>1</v>
      </c>
      <c r="N921" s="1855">
        <v>1</v>
      </c>
      <c r="O921" s="1855">
        <v>2</v>
      </c>
    </row>
    <row r="922" spans="3:15" ht="13.5">
      <c r="C922" s="1861" t="s">
        <v>4712</v>
      </c>
      <c r="D922" s="1858">
        <v>1</v>
      </c>
      <c r="E922" s="1858">
        <v>1</v>
      </c>
      <c r="F922" s="1859">
        <v>2</v>
      </c>
      <c r="G922" s="1872" t="s">
        <v>4712</v>
      </c>
      <c r="H922" s="1856">
        <v>1</v>
      </c>
      <c r="I922" s="1856">
        <v>1</v>
      </c>
      <c r="J922" s="1873">
        <v>2</v>
      </c>
      <c r="K922" s="1860"/>
      <c r="L922" s="1854">
        <v>13089021216</v>
      </c>
      <c r="M922" s="1855">
        <v>1</v>
      </c>
      <c r="N922" s="1855">
        <v>1</v>
      </c>
      <c r="O922" s="1855">
        <v>2</v>
      </c>
    </row>
    <row r="923" spans="3:15" ht="13.5">
      <c r="C923" s="1861" t="s">
        <v>4713</v>
      </c>
      <c r="D923" s="1858">
        <v>1</v>
      </c>
      <c r="E923" s="1858">
        <v>1</v>
      </c>
      <c r="F923" s="1859">
        <v>2</v>
      </c>
      <c r="G923" s="1872" t="s">
        <v>4713</v>
      </c>
      <c r="H923" s="1856">
        <v>1</v>
      </c>
      <c r="I923" s="1856">
        <v>1</v>
      </c>
      <c r="J923" s="1873">
        <v>2</v>
      </c>
      <c r="K923" s="1860"/>
      <c r="L923" s="1854">
        <v>13089021217</v>
      </c>
      <c r="M923" s="1855">
        <v>1</v>
      </c>
      <c r="N923" s="1855">
        <v>1</v>
      </c>
      <c r="O923" s="1855">
        <v>2</v>
      </c>
    </row>
    <row r="924" spans="3:15" ht="13.5">
      <c r="C924" s="1861" t="s">
        <v>4714</v>
      </c>
      <c r="D924" s="1858">
        <v>1</v>
      </c>
      <c r="E924" s="1858">
        <v>1</v>
      </c>
      <c r="F924" s="1859">
        <v>2</v>
      </c>
      <c r="G924" s="1872" t="s">
        <v>4714</v>
      </c>
      <c r="H924" s="1856">
        <v>1</v>
      </c>
      <c r="I924" s="1856">
        <v>1</v>
      </c>
      <c r="J924" s="1873">
        <v>2</v>
      </c>
      <c r="K924" s="1860"/>
      <c r="L924" s="1854">
        <v>13089021218</v>
      </c>
      <c r="M924" s="1855">
        <v>1</v>
      </c>
      <c r="N924" s="1855">
        <v>1</v>
      </c>
      <c r="O924" s="1855">
        <v>2</v>
      </c>
    </row>
    <row r="925" spans="3:15" ht="13.5">
      <c r="C925" s="1861" t="s">
        <v>4715</v>
      </c>
      <c r="D925" s="1858">
        <v>0</v>
      </c>
      <c r="E925" s="1858">
        <v>0</v>
      </c>
      <c r="F925" s="1859">
        <v>0</v>
      </c>
      <c r="G925" s="1872" t="s">
        <v>4715</v>
      </c>
      <c r="H925" s="1856">
        <v>1</v>
      </c>
      <c r="I925" s="1856">
        <v>0</v>
      </c>
      <c r="J925" s="1873">
        <v>1</v>
      </c>
      <c r="K925" s="1860"/>
      <c r="L925" s="1854">
        <v>13089021301</v>
      </c>
      <c r="M925" s="1855">
        <v>1</v>
      </c>
      <c r="N925" s="1855">
        <v>0</v>
      </c>
      <c r="O925" s="1855">
        <v>1</v>
      </c>
    </row>
    <row r="926" spans="3:15" ht="13.5">
      <c r="C926" s="1861" t="s">
        <v>4716</v>
      </c>
      <c r="D926" s="1858">
        <v>0</v>
      </c>
      <c r="E926" s="1858">
        <v>0</v>
      </c>
      <c r="F926" s="1859">
        <v>0</v>
      </c>
      <c r="G926" s="1872" t="s">
        <v>4716</v>
      </c>
      <c r="H926" s="1856">
        <v>0</v>
      </c>
      <c r="I926" s="1856">
        <v>0</v>
      </c>
      <c r="J926" s="1873">
        <v>0</v>
      </c>
      <c r="K926" s="1860"/>
      <c r="L926" s="1854">
        <v>13089021303</v>
      </c>
      <c r="M926" s="1855">
        <v>0</v>
      </c>
      <c r="N926" s="1855">
        <v>0</v>
      </c>
      <c r="O926" s="1855">
        <v>0</v>
      </c>
    </row>
    <row r="927" spans="3:15" ht="13.5">
      <c r="C927" s="1861" t="s">
        <v>4717</v>
      </c>
      <c r="D927" s="1858">
        <v>0</v>
      </c>
      <c r="E927" s="1858">
        <v>0</v>
      </c>
      <c r="F927" s="1859">
        <v>0</v>
      </c>
      <c r="G927" s="1872" t="s">
        <v>4717</v>
      </c>
      <c r="H927" s="1856">
        <v>1</v>
      </c>
      <c r="I927" s="1856">
        <v>0</v>
      </c>
      <c r="J927" s="1873">
        <v>1</v>
      </c>
      <c r="K927" s="1860"/>
      <c r="L927" s="1854">
        <v>13089021305</v>
      </c>
      <c r="M927" s="1855">
        <v>1</v>
      </c>
      <c r="N927" s="1855">
        <v>0</v>
      </c>
      <c r="O927" s="1855">
        <v>1</v>
      </c>
    </row>
    <row r="928" spans="3:15" ht="13.5">
      <c r="C928" s="1861" t="s">
        <v>4718</v>
      </c>
      <c r="D928" s="1858">
        <v>1</v>
      </c>
      <c r="E928" s="1858">
        <v>0</v>
      </c>
      <c r="F928" s="1859">
        <v>1</v>
      </c>
      <c r="G928" s="1872" t="s">
        <v>4718</v>
      </c>
      <c r="H928" s="1856">
        <v>1</v>
      </c>
      <c r="I928" s="1856">
        <v>0</v>
      </c>
      <c r="J928" s="1873">
        <v>1</v>
      </c>
      <c r="K928" s="1860"/>
      <c r="L928" s="1854">
        <v>13089021306</v>
      </c>
      <c r="M928" s="1855">
        <v>1</v>
      </c>
      <c r="N928" s="1855">
        <v>0</v>
      </c>
      <c r="O928" s="1855">
        <v>1</v>
      </c>
    </row>
    <row r="929" spans="3:15" ht="13.5">
      <c r="C929" s="1861" t="s">
        <v>4719</v>
      </c>
      <c r="D929" s="1858">
        <v>0</v>
      </c>
      <c r="E929" s="1858">
        <v>0</v>
      </c>
      <c r="F929" s="1859">
        <v>0</v>
      </c>
      <c r="G929" s="1872" t="s">
        <v>4719</v>
      </c>
      <c r="H929" s="1856">
        <v>1</v>
      </c>
      <c r="I929" s="1856">
        <v>0</v>
      </c>
      <c r="J929" s="1873">
        <v>1</v>
      </c>
      <c r="K929" s="1860"/>
      <c r="L929" s="1854">
        <v>13089021307</v>
      </c>
      <c r="M929" s="1855">
        <v>1</v>
      </c>
      <c r="N929" s="1855">
        <v>0</v>
      </c>
      <c r="O929" s="1855">
        <v>1</v>
      </c>
    </row>
    <row r="930" spans="3:15" ht="13.5">
      <c r="C930" s="1861" t="s">
        <v>4720</v>
      </c>
      <c r="D930" s="1858">
        <v>1</v>
      </c>
      <c r="E930" s="1858">
        <v>0</v>
      </c>
      <c r="F930" s="1859">
        <v>1</v>
      </c>
      <c r="G930" s="1872" t="s">
        <v>4720</v>
      </c>
      <c r="H930" s="1856">
        <v>1</v>
      </c>
      <c r="I930" s="1856">
        <v>0</v>
      </c>
      <c r="J930" s="1873">
        <v>1</v>
      </c>
      <c r="K930" s="1860"/>
      <c r="L930" s="1854">
        <v>13089021308</v>
      </c>
      <c r="M930" s="1855">
        <v>1</v>
      </c>
      <c r="N930" s="1855">
        <v>0</v>
      </c>
      <c r="O930" s="1855">
        <v>1</v>
      </c>
    </row>
    <row r="931" spans="3:15" ht="13.5">
      <c r="C931" s="1861" t="s">
        <v>4721</v>
      </c>
      <c r="D931" s="1858">
        <v>1</v>
      </c>
      <c r="E931" s="1858">
        <v>1</v>
      </c>
      <c r="F931" s="1859">
        <v>2</v>
      </c>
      <c r="G931" s="1872" t="s">
        <v>4721</v>
      </c>
      <c r="H931" s="1856">
        <v>1</v>
      </c>
      <c r="I931" s="1856">
        <v>1</v>
      </c>
      <c r="J931" s="1873">
        <v>2</v>
      </c>
      <c r="K931" s="1860"/>
      <c r="L931" s="1854">
        <v>13089021405</v>
      </c>
      <c r="M931" s="1855">
        <v>1</v>
      </c>
      <c r="N931" s="1855">
        <v>1</v>
      </c>
      <c r="O931" s="1855">
        <v>2</v>
      </c>
    </row>
    <row r="932" spans="3:15" ht="13.5">
      <c r="C932" s="1861" t="s">
        <v>4722</v>
      </c>
      <c r="D932" s="1858">
        <v>0</v>
      </c>
      <c r="E932" s="1858">
        <v>0</v>
      </c>
      <c r="F932" s="1859">
        <v>0</v>
      </c>
      <c r="G932" s="1872" t="s">
        <v>4722</v>
      </c>
      <c r="H932" s="1856">
        <v>1</v>
      </c>
      <c r="I932" s="1856" t="s">
        <v>3909</v>
      </c>
      <c r="J932" s="1873">
        <v>1</v>
      </c>
      <c r="K932" s="1860"/>
      <c r="L932" s="1854">
        <v>13089021409</v>
      </c>
      <c r="M932" s="1855">
        <v>1</v>
      </c>
      <c r="N932" s="1855">
        <v>0</v>
      </c>
      <c r="O932" s="1855">
        <v>1</v>
      </c>
    </row>
    <row r="933" spans="3:15" ht="13.5">
      <c r="C933" s="1861" t="s">
        <v>4723</v>
      </c>
      <c r="D933" s="1858">
        <v>1</v>
      </c>
      <c r="E933" s="1858">
        <v>0</v>
      </c>
      <c r="F933" s="1859">
        <v>1</v>
      </c>
      <c r="G933" s="1872" t="s">
        <v>4723</v>
      </c>
      <c r="H933" s="1856">
        <v>1</v>
      </c>
      <c r="I933" s="1856" t="s">
        <v>3909</v>
      </c>
      <c r="J933" s="1873">
        <v>1</v>
      </c>
      <c r="K933" s="1860"/>
      <c r="L933" s="1854">
        <v>13089021410</v>
      </c>
      <c r="M933" s="1855">
        <v>1</v>
      </c>
      <c r="N933" s="1855">
        <v>0</v>
      </c>
      <c r="O933" s="1855">
        <v>1</v>
      </c>
    </row>
    <row r="934" spans="3:15" ht="13.5">
      <c r="C934" s="1861" t="s">
        <v>4724</v>
      </c>
      <c r="D934" s="1858">
        <v>1</v>
      </c>
      <c r="E934" s="1858">
        <v>1</v>
      </c>
      <c r="F934" s="1859">
        <v>2</v>
      </c>
      <c r="G934" s="1872" t="s">
        <v>4724</v>
      </c>
      <c r="H934" s="1856">
        <v>1</v>
      </c>
      <c r="I934" s="1856">
        <v>1</v>
      </c>
      <c r="J934" s="1873">
        <v>2</v>
      </c>
      <c r="K934" s="1860"/>
      <c r="L934" s="1854">
        <v>13089021411</v>
      </c>
      <c r="M934" s="1855">
        <v>1</v>
      </c>
      <c r="N934" s="1855">
        <v>1</v>
      </c>
      <c r="O934" s="1855">
        <v>2</v>
      </c>
    </row>
    <row r="935" spans="3:15" ht="13.5">
      <c r="C935" s="1861" t="s">
        <v>4725</v>
      </c>
      <c r="D935" s="1858">
        <v>1</v>
      </c>
      <c r="E935" s="1858">
        <v>1</v>
      </c>
      <c r="F935" s="1859">
        <v>2</v>
      </c>
      <c r="G935" s="1872" t="s">
        <v>4725</v>
      </c>
      <c r="H935" s="1856">
        <v>1</v>
      </c>
      <c r="I935" s="1856">
        <v>1</v>
      </c>
      <c r="J935" s="1873">
        <v>2</v>
      </c>
      <c r="K935" s="1860"/>
      <c r="L935" s="1854">
        <v>13089021412</v>
      </c>
      <c r="M935" s="1855">
        <v>1</v>
      </c>
      <c r="N935" s="1855">
        <v>1</v>
      </c>
      <c r="O935" s="1855">
        <v>2</v>
      </c>
    </row>
    <row r="936" spans="3:15" ht="13.5">
      <c r="C936" s="1861" t="s">
        <v>4726</v>
      </c>
      <c r="D936" s="1858">
        <v>0</v>
      </c>
      <c r="E936" s="1858">
        <v>0</v>
      </c>
      <c r="F936" s="1859">
        <v>0</v>
      </c>
      <c r="G936" s="1872" t="s">
        <v>4726</v>
      </c>
      <c r="H936" s="1856">
        <v>1</v>
      </c>
      <c r="I936" s="1856">
        <v>0</v>
      </c>
      <c r="J936" s="1873">
        <v>1</v>
      </c>
      <c r="K936" s="1860"/>
      <c r="L936" s="1854">
        <v>13089021413</v>
      </c>
      <c r="M936" s="1855">
        <v>1</v>
      </c>
      <c r="N936" s="1855">
        <v>0</v>
      </c>
      <c r="O936" s="1855">
        <v>1</v>
      </c>
    </row>
    <row r="937" spans="3:15" ht="13.5">
      <c r="C937" s="1861" t="s">
        <v>4727</v>
      </c>
      <c r="D937" s="1858">
        <v>1</v>
      </c>
      <c r="E937" s="1858">
        <v>0</v>
      </c>
      <c r="F937" s="1859">
        <v>1</v>
      </c>
      <c r="G937" s="1872" t="s">
        <v>4727</v>
      </c>
      <c r="H937" s="1856">
        <v>0</v>
      </c>
      <c r="I937" s="1856">
        <v>0</v>
      </c>
      <c r="J937" s="1873">
        <v>0</v>
      </c>
      <c r="K937" s="1860"/>
      <c r="L937" s="1854">
        <v>13089021414</v>
      </c>
      <c r="M937" s="1855">
        <v>1</v>
      </c>
      <c r="N937" s="1855">
        <v>0</v>
      </c>
      <c r="O937" s="1855">
        <v>1</v>
      </c>
    </row>
    <row r="938" spans="3:15" ht="13.5">
      <c r="C938" s="1861" t="s">
        <v>4728</v>
      </c>
      <c r="D938" s="1858">
        <v>1</v>
      </c>
      <c r="E938" s="1858">
        <v>1</v>
      </c>
      <c r="F938" s="1859">
        <v>2</v>
      </c>
      <c r="G938" s="1872" t="s">
        <v>4728</v>
      </c>
      <c r="H938" s="1856">
        <v>1</v>
      </c>
      <c r="I938" s="1856" t="s">
        <v>3909</v>
      </c>
      <c r="J938" s="1873">
        <v>1</v>
      </c>
      <c r="K938" s="1860"/>
      <c r="L938" s="1854">
        <v>13089021415</v>
      </c>
      <c r="M938" s="1855">
        <v>1</v>
      </c>
      <c r="N938" s="1855">
        <v>1</v>
      </c>
      <c r="O938" s="1855">
        <v>2</v>
      </c>
    </row>
    <row r="939" spans="3:15" ht="13.5">
      <c r="C939" s="1861" t="s">
        <v>4729</v>
      </c>
      <c r="D939" s="1858">
        <v>1</v>
      </c>
      <c r="E939" s="1858">
        <v>0</v>
      </c>
      <c r="F939" s="1859">
        <v>1</v>
      </c>
      <c r="G939" s="1872" t="s">
        <v>4729</v>
      </c>
      <c r="H939" s="1856">
        <v>1</v>
      </c>
      <c r="I939" s="1856">
        <v>0</v>
      </c>
      <c r="J939" s="1873">
        <v>1</v>
      </c>
      <c r="K939" s="1860"/>
      <c r="L939" s="1854">
        <v>13089021416</v>
      </c>
      <c r="M939" s="1855">
        <v>1</v>
      </c>
      <c r="N939" s="1855">
        <v>0</v>
      </c>
      <c r="O939" s="1855">
        <v>1</v>
      </c>
    </row>
    <row r="940" spans="3:15" ht="13.5">
      <c r="C940" s="1861" t="s">
        <v>4730</v>
      </c>
      <c r="D940" s="1858">
        <v>0</v>
      </c>
      <c r="E940" s="1858">
        <v>0</v>
      </c>
      <c r="F940" s="1859">
        <v>0</v>
      </c>
      <c r="G940" s="1872" t="s">
        <v>4730</v>
      </c>
      <c r="H940" s="1856">
        <v>1</v>
      </c>
      <c r="I940" s="1856" t="s">
        <v>3909</v>
      </c>
      <c r="J940" s="1873">
        <v>1</v>
      </c>
      <c r="K940" s="1860"/>
      <c r="L940" s="1854">
        <v>13089021417</v>
      </c>
      <c r="M940" s="1855">
        <v>1</v>
      </c>
      <c r="N940" s="1855">
        <v>0</v>
      </c>
      <c r="O940" s="1855">
        <v>1</v>
      </c>
    </row>
    <row r="941" spans="3:15" ht="13.5">
      <c r="C941" s="1861" t="s">
        <v>4731</v>
      </c>
      <c r="D941" s="1858">
        <v>1</v>
      </c>
      <c r="E941" s="1858">
        <v>1</v>
      </c>
      <c r="F941" s="1859">
        <v>2</v>
      </c>
      <c r="G941" s="1872" t="s">
        <v>4731</v>
      </c>
      <c r="H941" s="1856">
        <v>1</v>
      </c>
      <c r="I941" s="1856">
        <v>1</v>
      </c>
      <c r="J941" s="1873">
        <v>2</v>
      </c>
      <c r="K941" s="1860"/>
      <c r="L941" s="1854">
        <v>13089021502</v>
      </c>
      <c r="M941" s="1855">
        <v>1</v>
      </c>
      <c r="N941" s="1855">
        <v>1</v>
      </c>
      <c r="O941" s="1855">
        <v>2</v>
      </c>
    </row>
    <row r="942" spans="3:15" ht="13.5">
      <c r="C942" s="1861" t="s">
        <v>4732</v>
      </c>
      <c r="D942" s="1858">
        <v>1</v>
      </c>
      <c r="E942" s="1858">
        <v>0</v>
      </c>
      <c r="F942" s="1859">
        <v>1</v>
      </c>
      <c r="G942" s="1872" t="s">
        <v>4732</v>
      </c>
      <c r="H942" s="1856">
        <v>1</v>
      </c>
      <c r="I942" s="1856">
        <v>1</v>
      </c>
      <c r="J942" s="1873">
        <v>2</v>
      </c>
      <c r="K942" s="1860"/>
      <c r="L942" s="1854">
        <v>13089021503</v>
      </c>
      <c r="M942" s="1855">
        <v>1</v>
      </c>
      <c r="N942" s="1855">
        <v>1</v>
      </c>
      <c r="O942" s="1855">
        <v>2</v>
      </c>
    </row>
    <row r="943" spans="3:15" ht="13.5">
      <c r="C943" s="1861" t="s">
        <v>4733</v>
      </c>
      <c r="D943" s="1858">
        <v>1</v>
      </c>
      <c r="E943" s="1858">
        <v>1</v>
      </c>
      <c r="F943" s="1859">
        <v>2</v>
      </c>
      <c r="G943" s="1872" t="s">
        <v>4733</v>
      </c>
      <c r="H943" s="1856">
        <v>1</v>
      </c>
      <c r="I943" s="1856" t="s">
        <v>3909</v>
      </c>
      <c r="J943" s="1873">
        <v>1</v>
      </c>
      <c r="K943" s="1860"/>
      <c r="L943" s="1854">
        <v>13089021504</v>
      </c>
      <c r="M943" s="1855">
        <v>1</v>
      </c>
      <c r="N943" s="1855">
        <v>1</v>
      </c>
      <c r="O943" s="1855">
        <v>2</v>
      </c>
    </row>
    <row r="944" spans="3:15" ht="13.5">
      <c r="C944" s="1861" t="s">
        <v>4734</v>
      </c>
      <c r="D944" s="1858">
        <v>1</v>
      </c>
      <c r="E944" s="1858">
        <v>1</v>
      </c>
      <c r="F944" s="1859">
        <v>2</v>
      </c>
      <c r="G944" s="1872" t="s">
        <v>4734</v>
      </c>
      <c r="H944" s="1856">
        <v>1</v>
      </c>
      <c r="I944" s="1856">
        <v>1</v>
      </c>
      <c r="J944" s="1873">
        <v>2</v>
      </c>
      <c r="K944" s="1860"/>
      <c r="L944" s="1854">
        <v>13089021602</v>
      </c>
      <c r="M944" s="1855">
        <v>1</v>
      </c>
      <c r="N944" s="1855">
        <v>1</v>
      </c>
      <c r="O944" s="1855">
        <v>2</v>
      </c>
    </row>
    <row r="945" spans="3:15" ht="13.5">
      <c r="C945" s="1861" t="s">
        <v>4735</v>
      </c>
      <c r="D945" s="1858">
        <v>1</v>
      </c>
      <c r="E945" s="1858">
        <v>1</v>
      </c>
      <c r="F945" s="1859">
        <v>2</v>
      </c>
      <c r="G945" s="1872" t="s">
        <v>4735</v>
      </c>
      <c r="H945" s="1856">
        <v>1</v>
      </c>
      <c r="I945" s="1856">
        <v>1</v>
      </c>
      <c r="J945" s="1873">
        <v>2</v>
      </c>
      <c r="K945" s="1860"/>
      <c r="L945" s="1854">
        <v>13089021603</v>
      </c>
      <c r="M945" s="1855">
        <v>1</v>
      </c>
      <c r="N945" s="1855">
        <v>1</v>
      </c>
      <c r="O945" s="1855">
        <v>2</v>
      </c>
    </row>
    <row r="946" spans="3:15" ht="13.5">
      <c r="C946" s="1861" t="s">
        <v>4736</v>
      </c>
      <c r="D946" s="1858">
        <v>1</v>
      </c>
      <c r="E946" s="1858">
        <v>1</v>
      </c>
      <c r="F946" s="1859">
        <v>2</v>
      </c>
      <c r="G946" s="1872" t="s">
        <v>4736</v>
      </c>
      <c r="H946" s="1856">
        <v>1</v>
      </c>
      <c r="I946" s="1856">
        <v>1</v>
      </c>
      <c r="J946" s="1873">
        <v>2</v>
      </c>
      <c r="K946" s="1860"/>
      <c r="L946" s="1854">
        <v>13089021604</v>
      </c>
      <c r="M946" s="1855">
        <v>1</v>
      </c>
      <c r="N946" s="1855">
        <v>1</v>
      </c>
      <c r="O946" s="1855">
        <v>2</v>
      </c>
    </row>
    <row r="947" spans="3:15" ht="13.5">
      <c r="C947" s="1861" t="s">
        <v>4737</v>
      </c>
      <c r="D947" s="1858">
        <v>1</v>
      </c>
      <c r="E947" s="1858">
        <v>1</v>
      </c>
      <c r="F947" s="1859">
        <v>2</v>
      </c>
      <c r="G947" s="1872" t="s">
        <v>4737</v>
      </c>
      <c r="H947" s="1856">
        <v>1</v>
      </c>
      <c r="I947" s="1856">
        <v>1</v>
      </c>
      <c r="J947" s="1873">
        <v>2</v>
      </c>
      <c r="K947" s="1860"/>
      <c r="L947" s="1854">
        <v>13089021605</v>
      </c>
      <c r="M947" s="1855">
        <v>1</v>
      </c>
      <c r="N947" s="1855">
        <v>1</v>
      </c>
      <c r="O947" s="1855">
        <v>2</v>
      </c>
    </row>
    <row r="948" spans="3:15" ht="13.5">
      <c r="C948" s="1861" t="s">
        <v>4738</v>
      </c>
      <c r="D948" s="1858">
        <v>1</v>
      </c>
      <c r="E948" s="1858">
        <v>1</v>
      </c>
      <c r="F948" s="1859">
        <v>2</v>
      </c>
      <c r="G948" s="1872" t="s">
        <v>4738</v>
      </c>
      <c r="H948" s="1856">
        <v>1</v>
      </c>
      <c r="I948" s="1856">
        <v>1</v>
      </c>
      <c r="J948" s="1873">
        <v>2</v>
      </c>
      <c r="K948" s="1860"/>
      <c r="L948" s="1854">
        <v>13089021703</v>
      </c>
      <c r="M948" s="1855">
        <v>1</v>
      </c>
      <c r="N948" s="1855">
        <v>1</v>
      </c>
      <c r="O948" s="1855">
        <v>2</v>
      </c>
    </row>
    <row r="949" spans="3:15" ht="13.5">
      <c r="C949" s="1861" t="s">
        <v>4739</v>
      </c>
      <c r="D949" s="1858">
        <v>1</v>
      </c>
      <c r="E949" s="1858">
        <v>1</v>
      </c>
      <c r="F949" s="1859">
        <v>2</v>
      </c>
      <c r="G949" s="1872" t="s">
        <v>4739</v>
      </c>
      <c r="H949" s="1856">
        <v>1</v>
      </c>
      <c r="I949" s="1856">
        <v>1</v>
      </c>
      <c r="J949" s="1873">
        <v>2</v>
      </c>
      <c r="K949" s="1860"/>
      <c r="L949" s="1854">
        <v>13089021704</v>
      </c>
      <c r="M949" s="1855">
        <v>1</v>
      </c>
      <c r="N949" s="1855">
        <v>1</v>
      </c>
      <c r="O949" s="1855">
        <v>2</v>
      </c>
    </row>
    <row r="950" spans="3:15" ht="13.5">
      <c r="C950" s="1861" t="s">
        <v>4740</v>
      </c>
      <c r="D950" s="1858">
        <v>1</v>
      </c>
      <c r="E950" s="1858">
        <v>0</v>
      </c>
      <c r="F950" s="1859">
        <v>1</v>
      </c>
      <c r="G950" s="1872" t="s">
        <v>4740</v>
      </c>
      <c r="H950" s="1856">
        <v>1</v>
      </c>
      <c r="I950" s="1856">
        <v>1</v>
      </c>
      <c r="J950" s="1873">
        <v>2</v>
      </c>
      <c r="K950" s="1860"/>
      <c r="L950" s="1854">
        <v>13089021705</v>
      </c>
      <c r="M950" s="1855">
        <v>1</v>
      </c>
      <c r="N950" s="1855">
        <v>1</v>
      </c>
      <c r="O950" s="1855">
        <v>2</v>
      </c>
    </row>
    <row r="951" spans="3:15" ht="13.5">
      <c r="C951" s="1861" t="s">
        <v>4741</v>
      </c>
      <c r="D951" s="1858">
        <v>1</v>
      </c>
      <c r="E951" s="1858">
        <v>1</v>
      </c>
      <c r="F951" s="1859">
        <v>2</v>
      </c>
      <c r="G951" s="1872" t="s">
        <v>4741</v>
      </c>
      <c r="H951" s="1856">
        <v>1</v>
      </c>
      <c r="I951" s="1856">
        <v>1</v>
      </c>
      <c r="J951" s="1873">
        <v>2</v>
      </c>
      <c r="K951" s="1860"/>
      <c r="L951" s="1854">
        <v>13089021706</v>
      </c>
      <c r="M951" s="1855">
        <v>1</v>
      </c>
      <c r="N951" s="1855">
        <v>1</v>
      </c>
      <c r="O951" s="1855">
        <v>2</v>
      </c>
    </row>
    <row r="952" spans="3:15" ht="13.5">
      <c r="C952" s="1861" t="s">
        <v>4742</v>
      </c>
      <c r="D952" s="1858">
        <v>1</v>
      </c>
      <c r="E952" s="1858">
        <v>0</v>
      </c>
      <c r="F952" s="1859">
        <v>1</v>
      </c>
      <c r="G952" s="1872" t="s">
        <v>4742</v>
      </c>
      <c r="H952" s="1856">
        <v>1</v>
      </c>
      <c r="I952" s="1856">
        <v>0</v>
      </c>
      <c r="J952" s="1873">
        <v>1</v>
      </c>
      <c r="K952" s="1860"/>
      <c r="L952" s="1854">
        <v>13089021805</v>
      </c>
      <c r="M952" s="1855">
        <v>1</v>
      </c>
      <c r="N952" s="1855">
        <v>0</v>
      </c>
      <c r="O952" s="1855">
        <v>1</v>
      </c>
    </row>
    <row r="953" spans="3:15" ht="13.5">
      <c r="C953" s="1861" t="s">
        <v>4743</v>
      </c>
      <c r="D953" s="1858">
        <v>1</v>
      </c>
      <c r="E953" s="1858">
        <v>0</v>
      </c>
      <c r="F953" s="1859">
        <v>1</v>
      </c>
      <c r="G953" s="1872" t="s">
        <v>4743</v>
      </c>
      <c r="H953" s="1856">
        <v>1</v>
      </c>
      <c r="I953" s="1856">
        <v>0</v>
      </c>
      <c r="J953" s="1873">
        <v>1</v>
      </c>
      <c r="K953" s="1860"/>
      <c r="L953" s="1854">
        <v>13089021806</v>
      </c>
      <c r="M953" s="1855">
        <v>1</v>
      </c>
      <c r="N953" s="1855">
        <v>0</v>
      </c>
      <c r="O953" s="1855">
        <v>1</v>
      </c>
    </row>
    <row r="954" spans="3:15" ht="13.5">
      <c r="C954" s="1861" t="s">
        <v>4744</v>
      </c>
      <c r="D954" s="1858">
        <v>1</v>
      </c>
      <c r="E954" s="1858">
        <v>1</v>
      </c>
      <c r="F954" s="1859">
        <v>2</v>
      </c>
      <c r="G954" s="1872" t="s">
        <v>4744</v>
      </c>
      <c r="H954" s="1856">
        <v>1</v>
      </c>
      <c r="I954" s="1856">
        <v>1</v>
      </c>
      <c r="J954" s="1873">
        <v>2</v>
      </c>
      <c r="K954" s="1860"/>
      <c r="L954" s="1854">
        <v>13089021808</v>
      </c>
      <c r="M954" s="1855">
        <v>1</v>
      </c>
      <c r="N954" s="1855">
        <v>1</v>
      </c>
      <c r="O954" s="1855">
        <v>2</v>
      </c>
    </row>
    <row r="955" spans="3:15" ht="13.5">
      <c r="C955" s="1861" t="s">
        <v>4745</v>
      </c>
      <c r="D955" s="1858">
        <v>1</v>
      </c>
      <c r="E955" s="1858">
        <v>1</v>
      </c>
      <c r="F955" s="1859">
        <v>2</v>
      </c>
      <c r="G955" s="1872" t="s">
        <v>4745</v>
      </c>
      <c r="H955" s="1856">
        <v>1</v>
      </c>
      <c r="I955" s="1856">
        <v>1</v>
      </c>
      <c r="J955" s="1873">
        <v>2</v>
      </c>
      <c r="K955" s="1860"/>
      <c r="L955" s="1854">
        <v>13089021809</v>
      </c>
      <c r="M955" s="1855">
        <v>1</v>
      </c>
      <c r="N955" s="1855">
        <v>1</v>
      </c>
      <c r="O955" s="1855">
        <v>2</v>
      </c>
    </row>
    <row r="956" spans="3:15" ht="13.5">
      <c r="C956" s="1861" t="s">
        <v>4746</v>
      </c>
      <c r="D956" s="1858">
        <v>1</v>
      </c>
      <c r="E956" s="1858">
        <v>1</v>
      </c>
      <c r="F956" s="1859">
        <v>2</v>
      </c>
      <c r="G956" s="1872" t="s">
        <v>4746</v>
      </c>
      <c r="H956" s="1856">
        <v>1</v>
      </c>
      <c r="I956" s="1856">
        <v>1</v>
      </c>
      <c r="J956" s="1873">
        <v>2</v>
      </c>
      <c r="K956" s="1860"/>
      <c r="L956" s="1854">
        <v>13089021810</v>
      </c>
      <c r="M956" s="1855">
        <v>1</v>
      </c>
      <c r="N956" s="1855">
        <v>1</v>
      </c>
      <c r="O956" s="1855">
        <v>2</v>
      </c>
    </row>
    <row r="957" spans="3:15" ht="13.5">
      <c r="C957" s="1861" t="s">
        <v>4747</v>
      </c>
      <c r="D957" s="1858">
        <v>1</v>
      </c>
      <c r="E957" s="1858">
        <v>0</v>
      </c>
      <c r="F957" s="1859">
        <v>1</v>
      </c>
      <c r="G957" s="1872" t="s">
        <v>4747</v>
      </c>
      <c r="H957" s="1856">
        <v>1</v>
      </c>
      <c r="I957" s="1856">
        <v>1</v>
      </c>
      <c r="J957" s="1873">
        <v>2</v>
      </c>
      <c r="K957" s="1860"/>
      <c r="L957" s="1854">
        <v>13089021812</v>
      </c>
      <c r="M957" s="1855">
        <v>1</v>
      </c>
      <c r="N957" s="1855">
        <v>1</v>
      </c>
      <c r="O957" s="1855">
        <v>2</v>
      </c>
    </row>
    <row r="958" spans="3:15" ht="13.5">
      <c r="C958" s="1861" t="s">
        <v>4748</v>
      </c>
      <c r="D958" s="1858">
        <v>0</v>
      </c>
      <c r="E958" s="1858">
        <v>0</v>
      </c>
      <c r="F958" s="1859">
        <v>0</v>
      </c>
      <c r="G958" s="1872" t="s">
        <v>4748</v>
      </c>
      <c r="H958" s="1856">
        <v>0</v>
      </c>
      <c r="I958" s="1856" t="s">
        <v>3909</v>
      </c>
      <c r="J958" s="1873">
        <v>0</v>
      </c>
      <c r="K958" s="1860"/>
      <c r="L958" s="1854">
        <v>13089021813</v>
      </c>
      <c r="M958" s="1855">
        <v>0</v>
      </c>
      <c r="N958" s="1855">
        <v>0</v>
      </c>
      <c r="O958" s="1855">
        <v>0</v>
      </c>
    </row>
    <row r="959" spans="3:15" ht="13.5">
      <c r="C959" s="1861" t="s">
        <v>4749</v>
      </c>
      <c r="D959" s="1858">
        <v>0</v>
      </c>
      <c r="E959" s="1858">
        <v>0</v>
      </c>
      <c r="F959" s="1859">
        <v>0</v>
      </c>
      <c r="G959" s="1872" t="s">
        <v>4749</v>
      </c>
      <c r="H959" s="1856">
        <v>0</v>
      </c>
      <c r="I959" s="1856">
        <v>0</v>
      </c>
      <c r="J959" s="1873">
        <v>0</v>
      </c>
      <c r="K959" s="1860"/>
      <c r="L959" s="1854">
        <v>13089021814</v>
      </c>
      <c r="M959" s="1855">
        <v>0</v>
      </c>
      <c r="N959" s="1855">
        <v>0</v>
      </c>
      <c r="O959" s="1855">
        <v>0</v>
      </c>
    </row>
    <row r="960" spans="3:15" ht="13.5">
      <c r="C960" s="1861" t="s">
        <v>4750</v>
      </c>
      <c r="D960" s="1858">
        <v>0</v>
      </c>
      <c r="E960" s="1858">
        <v>0</v>
      </c>
      <c r="F960" s="1859">
        <v>0</v>
      </c>
      <c r="G960" s="1872" t="s">
        <v>4750</v>
      </c>
      <c r="H960" s="1856">
        <v>0</v>
      </c>
      <c r="I960" s="1856">
        <v>0</v>
      </c>
      <c r="J960" s="1873">
        <v>0</v>
      </c>
      <c r="K960" s="1860"/>
      <c r="L960" s="1854">
        <v>13089021906</v>
      </c>
      <c r="M960" s="1855">
        <v>0</v>
      </c>
      <c r="N960" s="1855">
        <v>0</v>
      </c>
      <c r="O960" s="1855">
        <v>0</v>
      </c>
    </row>
    <row r="961" spans="3:15" ht="13.5">
      <c r="C961" s="1861" t="s">
        <v>4751</v>
      </c>
      <c r="D961" s="1858">
        <v>0</v>
      </c>
      <c r="E961" s="1858">
        <v>0</v>
      </c>
      <c r="F961" s="1859">
        <v>0</v>
      </c>
      <c r="G961" s="1872" t="s">
        <v>4751</v>
      </c>
      <c r="H961" s="1856">
        <v>0</v>
      </c>
      <c r="I961" s="1856">
        <v>1</v>
      </c>
      <c r="J961" s="1873">
        <v>1</v>
      </c>
      <c r="K961" s="1860"/>
      <c r="L961" s="1854">
        <v>13089021907</v>
      </c>
      <c r="M961" s="1855">
        <v>0</v>
      </c>
      <c r="N961" s="1855">
        <v>1</v>
      </c>
      <c r="O961" s="1855">
        <v>1</v>
      </c>
    </row>
    <row r="962" spans="3:15" ht="13.5">
      <c r="C962" s="1861" t="s">
        <v>4752</v>
      </c>
      <c r="D962" s="1858">
        <v>0</v>
      </c>
      <c r="E962" s="1858">
        <v>0</v>
      </c>
      <c r="F962" s="1859">
        <v>0</v>
      </c>
      <c r="G962" s="1872" t="s">
        <v>4752</v>
      </c>
      <c r="H962" s="1856">
        <v>0</v>
      </c>
      <c r="I962" s="1856">
        <v>0</v>
      </c>
      <c r="J962" s="1873">
        <v>0</v>
      </c>
      <c r="K962" s="1860"/>
      <c r="L962" s="1854">
        <v>13089021908</v>
      </c>
      <c r="M962" s="1855">
        <v>0</v>
      </c>
      <c r="N962" s="1855">
        <v>0</v>
      </c>
      <c r="O962" s="1855">
        <v>0</v>
      </c>
    </row>
    <row r="963" spans="3:15" ht="13.5">
      <c r="C963" s="1861" t="s">
        <v>4753</v>
      </c>
      <c r="D963" s="1858">
        <v>0</v>
      </c>
      <c r="E963" s="1858">
        <v>0</v>
      </c>
      <c r="F963" s="1859">
        <v>0</v>
      </c>
      <c r="G963" s="1872" t="s">
        <v>4753</v>
      </c>
      <c r="H963" s="1856">
        <v>0</v>
      </c>
      <c r="I963" s="1856">
        <v>0</v>
      </c>
      <c r="J963" s="1873">
        <v>0</v>
      </c>
      <c r="K963" s="1860"/>
      <c r="L963" s="1854">
        <v>13089021909</v>
      </c>
      <c r="M963" s="1855">
        <v>0</v>
      </c>
      <c r="N963" s="1855">
        <v>0</v>
      </c>
      <c r="O963" s="1855">
        <v>0</v>
      </c>
    </row>
    <row r="964" spans="3:15" ht="13.5">
      <c r="C964" s="1861" t="s">
        <v>4754</v>
      </c>
      <c r="D964" s="1858">
        <v>0</v>
      </c>
      <c r="E964" s="1858">
        <v>0</v>
      </c>
      <c r="F964" s="1859">
        <v>0</v>
      </c>
      <c r="G964" s="1872" t="s">
        <v>4754</v>
      </c>
      <c r="H964" s="1856">
        <v>0</v>
      </c>
      <c r="I964" s="1856">
        <v>0</v>
      </c>
      <c r="J964" s="1873">
        <v>0</v>
      </c>
      <c r="K964" s="1860"/>
      <c r="L964" s="1854">
        <v>13089021910</v>
      </c>
      <c r="M964" s="1855">
        <v>0</v>
      </c>
      <c r="N964" s="1855">
        <v>0</v>
      </c>
      <c r="O964" s="1855">
        <v>0</v>
      </c>
    </row>
    <row r="965" spans="3:15" ht="13.5">
      <c r="C965" s="1861" t="s">
        <v>4755</v>
      </c>
      <c r="D965" s="1858">
        <v>0</v>
      </c>
      <c r="E965" s="1858">
        <v>0</v>
      </c>
      <c r="F965" s="1859">
        <v>0</v>
      </c>
      <c r="G965" s="1872" t="s">
        <v>4755</v>
      </c>
      <c r="H965" s="1856">
        <v>0</v>
      </c>
      <c r="I965" s="1856" t="s">
        <v>3909</v>
      </c>
      <c r="J965" s="1873">
        <v>0</v>
      </c>
      <c r="K965" s="1860"/>
      <c r="L965" s="1854">
        <v>13089021911</v>
      </c>
      <c r="M965" s="1855">
        <v>0</v>
      </c>
      <c r="N965" s="1855">
        <v>0</v>
      </c>
      <c r="O965" s="1855">
        <v>0</v>
      </c>
    </row>
    <row r="966" spans="3:15" ht="13.5">
      <c r="C966" s="1861" t="s">
        <v>4756</v>
      </c>
      <c r="D966" s="1858">
        <v>1</v>
      </c>
      <c r="E966" s="1858">
        <v>1</v>
      </c>
      <c r="F966" s="1859">
        <v>2</v>
      </c>
      <c r="G966" s="1872" t="s">
        <v>4756</v>
      </c>
      <c r="H966" s="1856">
        <v>1</v>
      </c>
      <c r="I966" s="1856">
        <v>1</v>
      </c>
      <c r="J966" s="1873">
        <v>2</v>
      </c>
      <c r="K966" s="1860"/>
      <c r="L966" s="1854">
        <v>13089021912</v>
      </c>
      <c r="M966" s="1855">
        <v>1</v>
      </c>
      <c r="N966" s="1855">
        <v>1</v>
      </c>
      <c r="O966" s="1855">
        <v>2</v>
      </c>
    </row>
    <row r="967" spans="3:15" ht="13.5">
      <c r="C967" s="1861" t="s">
        <v>4757</v>
      </c>
      <c r="D967" s="1858">
        <v>0</v>
      </c>
      <c r="E967" s="1858">
        <v>0</v>
      </c>
      <c r="F967" s="1859">
        <v>0</v>
      </c>
      <c r="G967" s="1872" t="s">
        <v>4757</v>
      </c>
      <c r="H967" s="1856">
        <v>0</v>
      </c>
      <c r="I967" s="1856">
        <v>0</v>
      </c>
      <c r="J967" s="1873">
        <v>0</v>
      </c>
      <c r="K967" s="1860"/>
      <c r="L967" s="1854">
        <v>13089021913</v>
      </c>
      <c r="M967" s="1855">
        <v>0</v>
      </c>
      <c r="N967" s="1855">
        <v>0</v>
      </c>
      <c r="O967" s="1855">
        <v>0</v>
      </c>
    </row>
    <row r="968" spans="3:15" ht="13.5">
      <c r="C968" s="1861" t="s">
        <v>4758</v>
      </c>
      <c r="D968" s="1858">
        <v>1</v>
      </c>
      <c r="E968" s="1858">
        <v>1</v>
      </c>
      <c r="F968" s="1859">
        <v>2</v>
      </c>
      <c r="G968" s="1872" t="s">
        <v>4758</v>
      </c>
      <c r="H968" s="1856">
        <v>1</v>
      </c>
      <c r="I968" s="1856">
        <v>1</v>
      </c>
      <c r="J968" s="1873">
        <v>2</v>
      </c>
      <c r="K968" s="1860"/>
      <c r="L968" s="1854">
        <v>13089022001</v>
      </c>
      <c r="M968" s="1855">
        <v>1</v>
      </c>
      <c r="N968" s="1855">
        <v>1</v>
      </c>
      <c r="O968" s="1855">
        <v>2</v>
      </c>
    </row>
    <row r="969" spans="3:15" ht="13.5">
      <c r="C969" s="1861" t="s">
        <v>4759</v>
      </c>
      <c r="D969" s="1858">
        <v>0</v>
      </c>
      <c r="E969" s="1858">
        <v>0</v>
      </c>
      <c r="F969" s="1859">
        <v>0</v>
      </c>
      <c r="G969" s="1872" t="s">
        <v>4759</v>
      </c>
      <c r="H969" s="1856">
        <v>0</v>
      </c>
      <c r="I969" s="1856">
        <v>1</v>
      </c>
      <c r="J969" s="1873">
        <v>1</v>
      </c>
      <c r="K969" s="1860"/>
      <c r="L969" s="1854">
        <v>13089022004</v>
      </c>
      <c r="M969" s="1855">
        <v>0</v>
      </c>
      <c r="N969" s="1855">
        <v>1</v>
      </c>
      <c r="O969" s="1855">
        <v>1</v>
      </c>
    </row>
    <row r="970" spans="3:15" ht="13.5">
      <c r="C970" s="1861" t="s">
        <v>4760</v>
      </c>
      <c r="D970" s="1858">
        <v>0</v>
      </c>
      <c r="E970" s="1858">
        <v>0</v>
      </c>
      <c r="F970" s="1859">
        <v>0</v>
      </c>
      <c r="G970" s="1872" t="s">
        <v>4760</v>
      </c>
      <c r="H970" s="1856">
        <v>0</v>
      </c>
      <c r="I970" s="1856">
        <v>0</v>
      </c>
      <c r="J970" s="1873">
        <v>0</v>
      </c>
      <c r="K970" s="1860"/>
      <c r="L970" s="1854">
        <v>13089022005</v>
      </c>
      <c r="M970" s="1855">
        <v>0</v>
      </c>
      <c r="N970" s="1855">
        <v>0</v>
      </c>
      <c r="O970" s="1855">
        <v>0</v>
      </c>
    </row>
    <row r="971" spans="3:15" ht="13.5">
      <c r="C971" s="1861" t="s">
        <v>4761</v>
      </c>
      <c r="D971" s="1858">
        <v>0</v>
      </c>
      <c r="E971" s="1858">
        <v>0</v>
      </c>
      <c r="F971" s="1859">
        <v>0</v>
      </c>
      <c r="G971" s="1872" t="s">
        <v>4761</v>
      </c>
      <c r="H971" s="1856">
        <v>0</v>
      </c>
      <c r="I971" s="1856">
        <v>0</v>
      </c>
      <c r="J971" s="1873">
        <v>0</v>
      </c>
      <c r="K971" s="1860"/>
      <c r="L971" s="1854">
        <v>13089022007</v>
      </c>
      <c r="M971" s="1855">
        <v>0</v>
      </c>
      <c r="N971" s="1855">
        <v>0</v>
      </c>
      <c r="O971" s="1855">
        <v>0</v>
      </c>
    </row>
    <row r="972" spans="3:15" ht="13.5">
      <c r="C972" s="1861" t="s">
        <v>4762</v>
      </c>
      <c r="D972" s="1858">
        <v>0</v>
      </c>
      <c r="E972" s="1858">
        <v>0</v>
      </c>
      <c r="F972" s="1859">
        <v>0</v>
      </c>
      <c r="G972" s="1872" t="s">
        <v>4762</v>
      </c>
      <c r="H972" s="1856">
        <v>0</v>
      </c>
      <c r="I972" s="1856">
        <v>0</v>
      </c>
      <c r="J972" s="1873">
        <v>0</v>
      </c>
      <c r="K972" s="1860"/>
      <c r="L972" s="1854">
        <v>13089022008</v>
      </c>
      <c r="M972" s="1855">
        <v>0</v>
      </c>
      <c r="N972" s="1855">
        <v>0</v>
      </c>
      <c r="O972" s="1855">
        <v>0</v>
      </c>
    </row>
    <row r="973" spans="3:15" ht="13.5">
      <c r="C973" s="1861" t="s">
        <v>4763</v>
      </c>
      <c r="D973" s="1858">
        <v>0</v>
      </c>
      <c r="E973" s="1858">
        <v>0</v>
      </c>
      <c r="F973" s="1859">
        <v>0</v>
      </c>
      <c r="G973" s="1872" t="s">
        <v>4763</v>
      </c>
      <c r="H973" s="1856">
        <v>0</v>
      </c>
      <c r="I973" s="1856" t="s">
        <v>3909</v>
      </c>
      <c r="J973" s="1873">
        <v>0</v>
      </c>
      <c r="K973" s="1860"/>
      <c r="L973" s="1854">
        <v>13089022009</v>
      </c>
      <c r="M973" s="1855">
        <v>0</v>
      </c>
      <c r="N973" s="1855">
        <v>0</v>
      </c>
      <c r="O973" s="1855">
        <v>0</v>
      </c>
    </row>
    <row r="974" spans="3:15" ht="13.5">
      <c r="C974" s="1861" t="s">
        <v>4764</v>
      </c>
      <c r="D974" s="1858">
        <v>0</v>
      </c>
      <c r="E974" s="1858">
        <v>0</v>
      </c>
      <c r="F974" s="1859">
        <v>0</v>
      </c>
      <c r="G974" s="1872" t="s">
        <v>4764</v>
      </c>
      <c r="H974" s="1856">
        <v>0</v>
      </c>
      <c r="I974" s="1856">
        <v>0</v>
      </c>
      <c r="J974" s="1873">
        <v>0</v>
      </c>
      <c r="K974" s="1860"/>
      <c r="L974" s="1854">
        <v>13089022010</v>
      </c>
      <c r="M974" s="1855">
        <v>0</v>
      </c>
      <c r="N974" s="1855">
        <v>0</v>
      </c>
      <c r="O974" s="1855">
        <v>0</v>
      </c>
    </row>
    <row r="975" spans="3:15" ht="13.5">
      <c r="C975" s="1861" t="s">
        <v>4765</v>
      </c>
      <c r="D975" s="1858">
        <v>0</v>
      </c>
      <c r="E975" s="1858">
        <v>0</v>
      </c>
      <c r="F975" s="1859">
        <v>0</v>
      </c>
      <c r="G975" s="1872" t="s">
        <v>4765</v>
      </c>
      <c r="H975" s="1856">
        <v>0</v>
      </c>
      <c r="I975" s="1856">
        <v>0</v>
      </c>
      <c r="J975" s="1873">
        <v>0</v>
      </c>
      <c r="K975" s="1860"/>
      <c r="L975" s="1854">
        <v>13089022100</v>
      </c>
      <c r="M975" s="1855">
        <v>0</v>
      </c>
      <c r="N975" s="1855">
        <v>0</v>
      </c>
      <c r="O975" s="1855">
        <v>0</v>
      </c>
    </row>
    <row r="976" spans="3:15" ht="13.5">
      <c r="C976" s="1861" t="s">
        <v>4766</v>
      </c>
      <c r="D976" s="1858">
        <v>0</v>
      </c>
      <c r="E976" s="1858">
        <v>0</v>
      </c>
      <c r="F976" s="1859">
        <v>0</v>
      </c>
      <c r="G976" s="1872" t="s">
        <v>4766</v>
      </c>
      <c r="H976" s="1856">
        <v>1</v>
      </c>
      <c r="I976" s="1856">
        <v>0</v>
      </c>
      <c r="J976" s="1873">
        <v>1</v>
      </c>
      <c r="K976" s="1860"/>
      <c r="L976" s="1854">
        <v>13089022203</v>
      </c>
      <c r="M976" s="1855">
        <v>1</v>
      </c>
      <c r="N976" s="1855">
        <v>0</v>
      </c>
      <c r="O976" s="1855">
        <v>1</v>
      </c>
    </row>
    <row r="977" spans="3:15" ht="13.5">
      <c r="C977" s="1861" t="s">
        <v>4767</v>
      </c>
      <c r="D977" s="1858">
        <v>0</v>
      </c>
      <c r="E977" s="1858">
        <v>0</v>
      </c>
      <c r="F977" s="1859">
        <v>0</v>
      </c>
      <c r="G977" s="1872" t="s">
        <v>4767</v>
      </c>
      <c r="H977" s="1856">
        <v>1</v>
      </c>
      <c r="I977" s="1856">
        <v>0</v>
      </c>
      <c r="J977" s="1873">
        <v>1</v>
      </c>
      <c r="K977" s="1860"/>
      <c r="L977" s="1854">
        <v>13089022204</v>
      </c>
      <c r="M977" s="1855">
        <v>1</v>
      </c>
      <c r="N977" s="1855">
        <v>0</v>
      </c>
      <c r="O977" s="1855">
        <v>1</v>
      </c>
    </row>
    <row r="978" spans="3:15" ht="13.5">
      <c r="C978" s="1861" t="s">
        <v>4768</v>
      </c>
      <c r="D978" s="1858">
        <v>1</v>
      </c>
      <c r="E978" s="1858">
        <v>1</v>
      </c>
      <c r="F978" s="1859">
        <v>2</v>
      </c>
      <c r="G978" s="1872" t="s">
        <v>4768</v>
      </c>
      <c r="H978" s="1856">
        <v>1</v>
      </c>
      <c r="I978" s="1856">
        <v>1</v>
      </c>
      <c r="J978" s="1873">
        <v>2</v>
      </c>
      <c r="K978" s="1860"/>
      <c r="L978" s="1854">
        <v>13089022301</v>
      </c>
      <c r="M978" s="1855">
        <v>1</v>
      </c>
      <c r="N978" s="1855">
        <v>1</v>
      </c>
      <c r="O978" s="1855">
        <v>2</v>
      </c>
    </row>
    <row r="979" spans="3:15" ht="13.5">
      <c r="C979" s="1861" t="s">
        <v>4769</v>
      </c>
      <c r="D979" s="1858">
        <v>1</v>
      </c>
      <c r="E979" s="1858">
        <v>1</v>
      </c>
      <c r="F979" s="1859">
        <v>2</v>
      </c>
      <c r="G979" s="1872" t="s">
        <v>4769</v>
      </c>
      <c r="H979" s="1856">
        <v>1</v>
      </c>
      <c r="I979" s="1856">
        <v>1</v>
      </c>
      <c r="J979" s="1873">
        <v>2</v>
      </c>
      <c r="K979" s="1860"/>
      <c r="L979" s="1854">
        <v>13089022302</v>
      </c>
      <c r="M979" s="1855">
        <v>1</v>
      </c>
      <c r="N979" s="1855">
        <v>1</v>
      </c>
      <c r="O979" s="1855">
        <v>2</v>
      </c>
    </row>
    <row r="980" spans="3:15" ht="13.5">
      <c r="C980" s="1861" t="s">
        <v>4770</v>
      </c>
      <c r="D980" s="1858">
        <v>1</v>
      </c>
      <c r="E980" s="1858">
        <v>1</v>
      </c>
      <c r="F980" s="1859">
        <v>2</v>
      </c>
      <c r="G980" s="1872" t="s">
        <v>4770</v>
      </c>
      <c r="H980" s="1856">
        <v>1</v>
      </c>
      <c r="I980" s="1856">
        <v>1</v>
      </c>
      <c r="J980" s="1873">
        <v>2</v>
      </c>
      <c r="K980" s="1860"/>
      <c r="L980" s="1854">
        <v>13089022401</v>
      </c>
      <c r="M980" s="1855">
        <v>1</v>
      </c>
      <c r="N980" s="1855">
        <v>1</v>
      </c>
      <c r="O980" s="1855">
        <v>2</v>
      </c>
    </row>
    <row r="981" spans="3:15" ht="13.5">
      <c r="C981" s="1861" t="s">
        <v>4771</v>
      </c>
      <c r="D981" s="1858">
        <v>0</v>
      </c>
      <c r="E981" s="1858">
        <v>0</v>
      </c>
      <c r="F981" s="1859">
        <v>0</v>
      </c>
      <c r="G981" s="1872" t="s">
        <v>4771</v>
      </c>
      <c r="H981" s="1856">
        <v>0</v>
      </c>
      <c r="I981" s="1856" t="s">
        <v>3909</v>
      </c>
      <c r="J981" s="1873">
        <v>0</v>
      </c>
      <c r="K981" s="1860"/>
      <c r="L981" s="1854">
        <v>13089022402</v>
      </c>
      <c r="M981" s="1855">
        <v>0</v>
      </c>
      <c r="N981" s="1855">
        <v>0</v>
      </c>
      <c r="O981" s="1855">
        <v>0</v>
      </c>
    </row>
    <row r="982" spans="3:15" ht="13.5">
      <c r="C982" s="1861" t="s">
        <v>4772</v>
      </c>
      <c r="D982" s="1858">
        <v>1</v>
      </c>
      <c r="E982" s="1858">
        <v>1</v>
      </c>
      <c r="F982" s="1859">
        <v>2</v>
      </c>
      <c r="G982" s="1872" t="s">
        <v>4772</v>
      </c>
      <c r="H982" s="1856">
        <v>1</v>
      </c>
      <c r="I982" s="1856">
        <v>1</v>
      </c>
      <c r="J982" s="1873">
        <v>2</v>
      </c>
      <c r="K982" s="1860"/>
      <c r="L982" s="1854">
        <v>13089022403</v>
      </c>
      <c r="M982" s="1855">
        <v>1</v>
      </c>
      <c r="N982" s="1855">
        <v>1</v>
      </c>
      <c r="O982" s="1855">
        <v>2</v>
      </c>
    </row>
    <row r="983" spans="3:15" ht="13.5">
      <c r="C983" s="1861" t="s">
        <v>4773</v>
      </c>
      <c r="D983" s="1858">
        <v>1</v>
      </c>
      <c r="E983" s="1858">
        <v>1</v>
      </c>
      <c r="F983" s="1859">
        <v>2</v>
      </c>
      <c r="G983" s="1872" t="s">
        <v>4773</v>
      </c>
      <c r="H983" s="1856">
        <v>1</v>
      </c>
      <c r="I983" s="1856">
        <v>1</v>
      </c>
      <c r="J983" s="1873">
        <v>2</v>
      </c>
      <c r="K983" s="1860"/>
      <c r="L983" s="1854">
        <v>13089022500</v>
      </c>
      <c r="M983" s="1855">
        <v>1</v>
      </c>
      <c r="N983" s="1855">
        <v>1</v>
      </c>
      <c r="O983" s="1855">
        <v>2</v>
      </c>
    </row>
    <row r="984" spans="3:15" ht="13.5">
      <c r="C984" s="1861" t="s">
        <v>4774</v>
      </c>
      <c r="D984" s="1858">
        <v>1</v>
      </c>
      <c r="E984" s="1858">
        <v>1</v>
      </c>
      <c r="F984" s="1859">
        <v>2</v>
      </c>
      <c r="G984" s="1872" t="s">
        <v>4774</v>
      </c>
      <c r="H984" s="1856">
        <v>1</v>
      </c>
      <c r="I984" s="1856">
        <v>1</v>
      </c>
      <c r="J984" s="1873">
        <v>2</v>
      </c>
      <c r="K984" s="1860"/>
      <c r="L984" s="1854">
        <v>13089022600</v>
      </c>
      <c r="M984" s="1855">
        <v>1</v>
      </c>
      <c r="N984" s="1855">
        <v>1</v>
      </c>
      <c r="O984" s="1855">
        <v>2</v>
      </c>
    </row>
    <row r="985" spans="3:15" ht="13.5">
      <c r="C985" s="1861" t="s">
        <v>4775</v>
      </c>
      <c r="D985" s="1858">
        <v>1</v>
      </c>
      <c r="E985" s="1858">
        <v>1</v>
      </c>
      <c r="F985" s="1859">
        <v>2</v>
      </c>
      <c r="G985" s="1872" t="s">
        <v>4775</v>
      </c>
      <c r="H985" s="1856">
        <v>1</v>
      </c>
      <c r="I985" s="1856">
        <v>1</v>
      </c>
      <c r="J985" s="1873">
        <v>2</v>
      </c>
      <c r="K985" s="1860"/>
      <c r="L985" s="1854">
        <v>13089022700</v>
      </c>
      <c r="M985" s="1855">
        <v>1</v>
      </c>
      <c r="N985" s="1855">
        <v>1</v>
      </c>
      <c r="O985" s="1855">
        <v>2</v>
      </c>
    </row>
    <row r="986" spans="3:15" ht="13.5">
      <c r="C986" s="1861" t="s">
        <v>4776</v>
      </c>
      <c r="D986" s="1858">
        <v>1</v>
      </c>
      <c r="E986" s="1858">
        <v>1</v>
      </c>
      <c r="F986" s="1859">
        <v>2</v>
      </c>
      <c r="G986" s="1872" t="s">
        <v>4776</v>
      </c>
      <c r="H986" s="1856">
        <v>1</v>
      </c>
      <c r="I986" s="1856">
        <v>1</v>
      </c>
      <c r="J986" s="1873">
        <v>2</v>
      </c>
      <c r="K986" s="1860"/>
      <c r="L986" s="1854">
        <v>13089022800</v>
      </c>
      <c r="M986" s="1855">
        <v>1</v>
      </c>
      <c r="N986" s="1855">
        <v>1</v>
      </c>
      <c r="O986" s="1855">
        <v>2</v>
      </c>
    </row>
    <row r="987" spans="3:15" ht="13.5">
      <c r="C987" s="1861" t="s">
        <v>4777</v>
      </c>
      <c r="D987" s="1858">
        <v>1</v>
      </c>
      <c r="E987" s="1858">
        <v>1</v>
      </c>
      <c r="F987" s="1859">
        <v>2</v>
      </c>
      <c r="G987" s="1872" t="s">
        <v>4777</v>
      </c>
      <c r="H987" s="1856">
        <v>1</v>
      </c>
      <c r="I987" s="1856">
        <v>1</v>
      </c>
      <c r="J987" s="1873">
        <v>2</v>
      </c>
      <c r="K987" s="1860"/>
      <c r="L987" s="1854">
        <v>13089022900</v>
      </c>
      <c r="M987" s="1855">
        <v>1</v>
      </c>
      <c r="N987" s="1855">
        <v>1</v>
      </c>
      <c r="O987" s="1855">
        <v>2</v>
      </c>
    </row>
    <row r="988" spans="3:15" ht="13.5">
      <c r="C988" s="1861" t="s">
        <v>4778</v>
      </c>
      <c r="D988" s="1858">
        <v>1</v>
      </c>
      <c r="E988" s="1858">
        <v>1</v>
      </c>
      <c r="F988" s="1859">
        <v>2</v>
      </c>
      <c r="G988" s="1872" t="s">
        <v>4778</v>
      </c>
      <c r="H988" s="1856">
        <v>1</v>
      </c>
      <c r="I988" s="1856">
        <v>1</v>
      </c>
      <c r="J988" s="1873">
        <v>2</v>
      </c>
      <c r="K988" s="1860"/>
      <c r="L988" s="1854">
        <v>13089023000</v>
      </c>
      <c r="M988" s="1855">
        <v>1</v>
      </c>
      <c r="N988" s="1855">
        <v>1</v>
      </c>
      <c r="O988" s="1855">
        <v>2</v>
      </c>
    </row>
    <row r="989" spans="3:15" ht="13.5">
      <c r="C989" s="1861" t="s">
        <v>4779</v>
      </c>
      <c r="D989" s="1858">
        <v>0</v>
      </c>
      <c r="E989" s="1858">
        <v>0</v>
      </c>
      <c r="F989" s="1859">
        <v>0</v>
      </c>
      <c r="G989" s="1872" t="s">
        <v>4779</v>
      </c>
      <c r="H989" s="1856">
        <v>0</v>
      </c>
      <c r="I989" s="1856">
        <v>0</v>
      </c>
      <c r="J989" s="1873">
        <v>0</v>
      </c>
      <c r="K989" s="1860"/>
      <c r="L989" s="1854">
        <v>13089023101</v>
      </c>
      <c r="M989" s="1855">
        <v>0</v>
      </c>
      <c r="N989" s="1855">
        <v>0</v>
      </c>
      <c r="O989" s="1855">
        <v>0</v>
      </c>
    </row>
    <row r="990" spans="3:15" ht="13.5">
      <c r="C990" s="1861" t="s">
        <v>4780</v>
      </c>
      <c r="D990" s="1858">
        <v>0</v>
      </c>
      <c r="E990" s="1858">
        <v>0</v>
      </c>
      <c r="F990" s="1859">
        <v>0</v>
      </c>
      <c r="G990" s="1872" t="s">
        <v>4780</v>
      </c>
      <c r="H990" s="1856">
        <v>1</v>
      </c>
      <c r="I990" s="1856">
        <v>0</v>
      </c>
      <c r="J990" s="1873">
        <v>1</v>
      </c>
      <c r="K990" s="1860"/>
      <c r="L990" s="1854">
        <v>13089023102</v>
      </c>
      <c r="M990" s="1855">
        <v>1</v>
      </c>
      <c r="N990" s="1855">
        <v>0</v>
      </c>
      <c r="O990" s="1855">
        <v>1</v>
      </c>
    </row>
    <row r="991" spans="3:15" ht="13.5">
      <c r="C991" s="1861" t="s">
        <v>4781</v>
      </c>
      <c r="D991" s="1858">
        <v>0</v>
      </c>
      <c r="E991" s="1858">
        <v>0</v>
      </c>
      <c r="F991" s="1859">
        <v>0</v>
      </c>
      <c r="G991" s="1872" t="s">
        <v>4781</v>
      </c>
      <c r="H991" s="1856">
        <v>0</v>
      </c>
      <c r="I991" s="1856">
        <v>0</v>
      </c>
      <c r="J991" s="1873">
        <v>0</v>
      </c>
      <c r="K991" s="1860"/>
      <c r="L991" s="1854">
        <v>13089023107</v>
      </c>
      <c r="M991" s="1855">
        <v>0</v>
      </c>
      <c r="N991" s="1855">
        <v>0</v>
      </c>
      <c r="O991" s="1855">
        <v>0</v>
      </c>
    </row>
    <row r="992" spans="3:15" ht="13.5">
      <c r="C992" s="1861" t="s">
        <v>4782</v>
      </c>
      <c r="D992" s="1858">
        <v>0</v>
      </c>
      <c r="E992" s="1858">
        <v>0</v>
      </c>
      <c r="F992" s="1859">
        <v>0</v>
      </c>
      <c r="G992" s="1872" t="s">
        <v>4782</v>
      </c>
      <c r="H992" s="1856">
        <v>0</v>
      </c>
      <c r="I992" s="1856">
        <v>0</v>
      </c>
      <c r="J992" s="1873">
        <v>0</v>
      </c>
      <c r="K992" s="1860"/>
      <c r="L992" s="1854">
        <v>13089023108</v>
      </c>
      <c r="M992" s="1855">
        <v>0</v>
      </c>
      <c r="N992" s="1855">
        <v>0</v>
      </c>
      <c r="O992" s="1855">
        <v>0</v>
      </c>
    </row>
    <row r="993" spans="3:15" ht="13.5">
      <c r="C993" s="1861" t="s">
        <v>4783</v>
      </c>
      <c r="D993" s="1858">
        <v>0</v>
      </c>
      <c r="E993" s="1858">
        <v>0</v>
      </c>
      <c r="F993" s="1859">
        <v>0</v>
      </c>
      <c r="G993" s="1872" t="s">
        <v>4783</v>
      </c>
      <c r="H993" s="1856">
        <v>0</v>
      </c>
      <c r="I993" s="1856">
        <v>0</v>
      </c>
      <c r="J993" s="1873">
        <v>0</v>
      </c>
      <c r="K993" s="1860"/>
      <c r="L993" s="1854">
        <v>13089023111</v>
      </c>
      <c r="M993" s="1855">
        <v>0</v>
      </c>
      <c r="N993" s="1855">
        <v>0</v>
      </c>
      <c r="O993" s="1855">
        <v>0</v>
      </c>
    </row>
    <row r="994" spans="3:15" ht="13.5">
      <c r="C994" s="1861" t="s">
        <v>4784</v>
      </c>
      <c r="D994" s="1858">
        <v>0</v>
      </c>
      <c r="E994" s="1858">
        <v>0</v>
      </c>
      <c r="F994" s="1859">
        <v>0</v>
      </c>
      <c r="G994" s="1872" t="s">
        <v>4784</v>
      </c>
      <c r="H994" s="1856">
        <v>0</v>
      </c>
      <c r="I994" s="1856" t="s">
        <v>3909</v>
      </c>
      <c r="J994" s="1873">
        <v>0</v>
      </c>
      <c r="K994" s="1860"/>
      <c r="L994" s="1854">
        <v>13089023112</v>
      </c>
      <c r="M994" s="1855">
        <v>0</v>
      </c>
      <c r="N994" s="1855">
        <v>0</v>
      </c>
      <c r="O994" s="1855">
        <v>0</v>
      </c>
    </row>
    <row r="995" spans="3:15" ht="13.5">
      <c r="C995" s="1861" t="s">
        <v>4785</v>
      </c>
      <c r="D995" s="1858">
        <v>0</v>
      </c>
      <c r="E995" s="1858">
        <v>0</v>
      </c>
      <c r="F995" s="1859">
        <v>0</v>
      </c>
      <c r="G995" s="1872" t="s">
        <v>4785</v>
      </c>
      <c r="H995" s="1856">
        <v>0</v>
      </c>
      <c r="I995" s="1856">
        <v>0</v>
      </c>
      <c r="J995" s="1873">
        <v>0</v>
      </c>
      <c r="K995" s="1860"/>
      <c r="L995" s="1854">
        <v>13089023113</v>
      </c>
      <c r="M995" s="1855">
        <v>0</v>
      </c>
      <c r="N995" s="1855">
        <v>0</v>
      </c>
      <c r="O995" s="1855">
        <v>0</v>
      </c>
    </row>
    <row r="996" spans="3:15" ht="13.5">
      <c r="C996" s="1861" t="s">
        <v>4786</v>
      </c>
      <c r="D996" s="1858">
        <v>0</v>
      </c>
      <c r="E996" s="1858">
        <v>0</v>
      </c>
      <c r="F996" s="1859">
        <v>0</v>
      </c>
      <c r="G996" s="1872" t="s">
        <v>4786</v>
      </c>
      <c r="H996" s="1856">
        <v>0</v>
      </c>
      <c r="I996" s="1856">
        <v>0</v>
      </c>
      <c r="J996" s="1873">
        <v>0</v>
      </c>
      <c r="K996" s="1860"/>
      <c r="L996" s="1854">
        <v>13089023114</v>
      </c>
      <c r="M996" s="1855">
        <v>0</v>
      </c>
      <c r="N996" s="1855">
        <v>0</v>
      </c>
      <c r="O996" s="1855">
        <v>0</v>
      </c>
    </row>
    <row r="997" spans="3:15" ht="13.5">
      <c r="C997" s="1861" t="s">
        <v>4787</v>
      </c>
      <c r="D997" s="1858" t="s">
        <v>3909</v>
      </c>
      <c r="E997" s="1858" t="s">
        <v>3909</v>
      </c>
      <c r="F997" s="1859">
        <v>0</v>
      </c>
      <c r="G997" s="1872" t="s">
        <v>4787</v>
      </c>
      <c r="H997" s="1856" t="s">
        <v>3909</v>
      </c>
      <c r="I997" s="1856" t="s">
        <v>3909</v>
      </c>
      <c r="J997" s="1873">
        <v>0</v>
      </c>
      <c r="K997" s="1860"/>
      <c r="L997" s="1854">
        <v>13089023115</v>
      </c>
      <c r="M997" s="1855">
        <v>0</v>
      </c>
      <c r="N997" s="1855">
        <v>0</v>
      </c>
      <c r="O997" s="1855">
        <v>0</v>
      </c>
    </row>
    <row r="998" spans="3:15" ht="13.5">
      <c r="C998" s="1861" t="s">
        <v>4788</v>
      </c>
      <c r="D998" s="1858">
        <v>0</v>
      </c>
      <c r="E998" s="1858">
        <v>0</v>
      </c>
      <c r="F998" s="1859">
        <v>0</v>
      </c>
      <c r="G998" s="1872" t="s">
        <v>4788</v>
      </c>
      <c r="H998" s="1856">
        <v>0</v>
      </c>
      <c r="I998" s="1856">
        <v>0</v>
      </c>
      <c r="J998" s="1873">
        <v>0</v>
      </c>
      <c r="K998" s="1860"/>
      <c r="L998" s="1854">
        <v>13089023204</v>
      </c>
      <c r="M998" s="1855">
        <v>0</v>
      </c>
      <c r="N998" s="1855">
        <v>0</v>
      </c>
      <c r="O998" s="1855">
        <v>0</v>
      </c>
    </row>
    <row r="999" spans="3:15" ht="13.5">
      <c r="C999" s="1861" t="s">
        <v>4789</v>
      </c>
      <c r="D999" s="1858">
        <v>0</v>
      </c>
      <c r="E999" s="1858">
        <v>0</v>
      </c>
      <c r="F999" s="1859">
        <v>0</v>
      </c>
      <c r="G999" s="1872" t="s">
        <v>4789</v>
      </c>
      <c r="H999" s="1856">
        <v>0</v>
      </c>
      <c r="I999" s="1856">
        <v>1</v>
      </c>
      <c r="J999" s="1873">
        <v>1</v>
      </c>
      <c r="K999" s="1860"/>
      <c r="L999" s="1854">
        <v>13089023206</v>
      </c>
      <c r="M999" s="1855">
        <v>0</v>
      </c>
      <c r="N999" s="1855">
        <v>1</v>
      </c>
      <c r="O999" s="1855">
        <v>1</v>
      </c>
    </row>
    <row r="1000" spans="3:15" ht="13.5">
      <c r="C1000" s="1861" t="s">
        <v>4790</v>
      </c>
      <c r="D1000" s="1858">
        <v>0</v>
      </c>
      <c r="E1000" s="1858">
        <v>0</v>
      </c>
      <c r="F1000" s="1859">
        <v>0</v>
      </c>
      <c r="G1000" s="1872" t="s">
        <v>4790</v>
      </c>
      <c r="H1000" s="1856">
        <v>0</v>
      </c>
      <c r="I1000" s="1856">
        <v>0</v>
      </c>
      <c r="J1000" s="1873">
        <v>0</v>
      </c>
      <c r="K1000" s="1860"/>
      <c r="L1000" s="1854">
        <v>13089023208</v>
      </c>
      <c r="M1000" s="1855">
        <v>0</v>
      </c>
      <c r="N1000" s="1855">
        <v>0</v>
      </c>
      <c r="O1000" s="1855">
        <v>0</v>
      </c>
    </row>
    <row r="1001" spans="3:15" ht="13.5">
      <c r="C1001" s="1861" t="s">
        <v>4791</v>
      </c>
      <c r="D1001" s="1858">
        <v>0</v>
      </c>
      <c r="E1001" s="1858">
        <v>0</v>
      </c>
      <c r="F1001" s="1859">
        <v>0</v>
      </c>
      <c r="G1001" s="1872" t="s">
        <v>4791</v>
      </c>
      <c r="H1001" s="1856">
        <v>0</v>
      </c>
      <c r="I1001" s="1856">
        <v>0</v>
      </c>
      <c r="J1001" s="1873">
        <v>0</v>
      </c>
      <c r="K1001" s="1860"/>
      <c r="L1001" s="1854">
        <v>13089023209</v>
      </c>
      <c r="M1001" s="1855">
        <v>0</v>
      </c>
      <c r="N1001" s="1855">
        <v>0</v>
      </c>
      <c r="O1001" s="1855">
        <v>0</v>
      </c>
    </row>
    <row r="1002" spans="3:15" ht="13.5">
      <c r="C1002" s="1861" t="s">
        <v>4792</v>
      </c>
      <c r="D1002" s="1858">
        <v>0</v>
      </c>
      <c r="E1002" s="1858">
        <v>0</v>
      </c>
      <c r="F1002" s="1859">
        <v>0</v>
      </c>
      <c r="G1002" s="1872" t="s">
        <v>4792</v>
      </c>
      <c r="H1002" s="1856">
        <v>0</v>
      </c>
      <c r="I1002" s="1856">
        <v>0</v>
      </c>
      <c r="J1002" s="1873">
        <v>0</v>
      </c>
      <c r="K1002" s="1860"/>
      <c r="L1002" s="1854">
        <v>13089023210</v>
      </c>
      <c r="M1002" s="1855">
        <v>0</v>
      </c>
      <c r="N1002" s="1855">
        <v>0</v>
      </c>
      <c r="O1002" s="1855">
        <v>0</v>
      </c>
    </row>
    <row r="1003" spans="3:15" ht="13.5">
      <c r="C1003" s="1861" t="s">
        <v>4793</v>
      </c>
      <c r="D1003" s="1858">
        <v>0</v>
      </c>
      <c r="E1003" s="1858">
        <v>0</v>
      </c>
      <c r="F1003" s="1859">
        <v>0</v>
      </c>
      <c r="G1003" s="1872" t="s">
        <v>4793</v>
      </c>
      <c r="H1003" s="1856">
        <v>0</v>
      </c>
      <c r="I1003" s="1856">
        <v>0</v>
      </c>
      <c r="J1003" s="1873">
        <v>0</v>
      </c>
      <c r="K1003" s="1860"/>
      <c r="L1003" s="1854">
        <v>13089023211</v>
      </c>
      <c r="M1003" s="1855">
        <v>0</v>
      </c>
      <c r="N1003" s="1855">
        <v>0</v>
      </c>
      <c r="O1003" s="1855">
        <v>0</v>
      </c>
    </row>
    <row r="1004" spans="3:15" ht="13.5">
      <c r="C1004" s="1861" t="s">
        <v>4794</v>
      </c>
      <c r="D1004" s="1858">
        <v>0</v>
      </c>
      <c r="E1004" s="1858">
        <v>0</v>
      </c>
      <c r="F1004" s="1859">
        <v>0</v>
      </c>
      <c r="G1004" s="1872" t="s">
        <v>4794</v>
      </c>
      <c r="H1004" s="1856">
        <v>0</v>
      </c>
      <c r="I1004" s="1856">
        <v>0</v>
      </c>
      <c r="J1004" s="1873">
        <v>0</v>
      </c>
      <c r="K1004" s="1860"/>
      <c r="L1004" s="1854">
        <v>13089023212</v>
      </c>
      <c r="M1004" s="1855">
        <v>0</v>
      </c>
      <c r="N1004" s="1855">
        <v>0</v>
      </c>
      <c r="O1004" s="1855">
        <v>0</v>
      </c>
    </row>
    <row r="1005" spans="3:15" ht="13.5">
      <c r="C1005" s="1861" t="s">
        <v>4795</v>
      </c>
      <c r="D1005" s="1858">
        <v>0</v>
      </c>
      <c r="E1005" s="1858">
        <v>0</v>
      </c>
      <c r="F1005" s="1859">
        <v>0</v>
      </c>
      <c r="G1005" s="1872" t="s">
        <v>4795</v>
      </c>
      <c r="H1005" s="1856">
        <v>0</v>
      </c>
      <c r="I1005" s="1856">
        <v>0</v>
      </c>
      <c r="J1005" s="1873">
        <v>0</v>
      </c>
      <c r="K1005" s="1860"/>
      <c r="L1005" s="1854">
        <v>13089023213</v>
      </c>
      <c r="M1005" s="1855">
        <v>0</v>
      </c>
      <c r="N1005" s="1855">
        <v>0</v>
      </c>
      <c r="O1005" s="1855">
        <v>0</v>
      </c>
    </row>
    <row r="1006" spans="3:15" ht="13.5">
      <c r="C1006" s="1861" t="s">
        <v>4796</v>
      </c>
      <c r="D1006" s="1858">
        <v>0</v>
      </c>
      <c r="E1006" s="1858">
        <v>0</v>
      </c>
      <c r="F1006" s="1859">
        <v>0</v>
      </c>
      <c r="G1006" s="1872" t="s">
        <v>4796</v>
      </c>
      <c r="H1006" s="1856">
        <v>0</v>
      </c>
      <c r="I1006" s="1856" t="s">
        <v>3909</v>
      </c>
      <c r="J1006" s="1873">
        <v>0</v>
      </c>
      <c r="K1006" s="1860"/>
      <c r="L1006" s="1854">
        <v>13089023214</v>
      </c>
      <c r="M1006" s="1855">
        <v>0</v>
      </c>
      <c r="N1006" s="1855">
        <v>0</v>
      </c>
      <c r="O1006" s="1855">
        <v>0</v>
      </c>
    </row>
    <row r="1007" spans="3:15" ht="13.5">
      <c r="C1007" s="1861" t="s">
        <v>4797</v>
      </c>
      <c r="D1007" s="1858">
        <v>0</v>
      </c>
      <c r="E1007" s="1858">
        <v>0</v>
      </c>
      <c r="F1007" s="1859">
        <v>0</v>
      </c>
      <c r="G1007" s="1872" t="s">
        <v>4797</v>
      </c>
      <c r="H1007" s="1856">
        <v>0</v>
      </c>
      <c r="I1007" s="1856">
        <v>0</v>
      </c>
      <c r="J1007" s="1873">
        <v>0</v>
      </c>
      <c r="K1007" s="1860"/>
      <c r="L1007" s="1854">
        <v>13089023303</v>
      </c>
      <c r="M1007" s="1855">
        <v>0</v>
      </c>
      <c r="N1007" s="1855">
        <v>0</v>
      </c>
      <c r="O1007" s="1855">
        <v>0</v>
      </c>
    </row>
    <row r="1008" spans="3:15" ht="13.5">
      <c r="C1008" s="1861" t="s">
        <v>4798</v>
      </c>
      <c r="D1008" s="1858">
        <v>1</v>
      </c>
      <c r="E1008" s="1858">
        <v>1</v>
      </c>
      <c r="F1008" s="1859">
        <v>2</v>
      </c>
      <c r="G1008" s="1872" t="s">
        <v>4798</v>
      </c>
      <c r="H1008" s="1856">
        <v>0</v>
      </c>
      <c r="I1008" s="1856">
        <v>1</v>
      </c>
      <c r="J1008" s="1873">
        <v>1</v>
      </c>
      <c r="K1008" s="1860"/>
      <c r="L1008" s="1854">
        <v>13089023306</v>
      </c>
      <c r="M1008" s="1855">
        <v>1</v>
      </c>
      <c r="N1008" s="1855">
        <v>1</v>
      </c>
      <c r="O1008" s="1855">
        <v>2</v>
      </c>
    </row>
    <row r="1009" spans="3:15" ht="13.5">
      <c r="C1009" s="1861" t="s">
        <v>4799</v>
      </c>
      <c r="D1009" s="1858">
        <v>0</v>
      </c>
      <c r="E1009" s="1858">
        <v>0</v>
      </c>
      <c r="F1009" s="1859">
        <v>0</v>
      </c>
      <c r="G1009" s="1872" t="s">
        <v>4799</v>
      </c>
      <c r="H1009" s="1856">
        <v>0</v>
      </c>
      <c r="I1009" s="1856">
        <v>0</v>
      </c>
      <c r="J1009" s="1873">
        <v>0</v>
      </c>
      <c r="K1009" s="1860"/>
      <c r="L1009" s="1854">
        <v>13089023309</v>
      </c>
      <c r="M1009" s="1855">
        <v>0</v>
      </c>
      <c r="N1009" s="1855">
        <v>0</v>
      </c>
      <c r="O1009" s="1855">
        <v>0</v>
      </c>
    </row>
    <row r="1010" spans="3:15" ht="13.5">
      <c r="C1010" s="1861" t="s">
        <v>4800</v>
      </c>
      <c r="D1010" s="1858">
        <v>0</v>
      </c>
      <c r="E1010" s="1858">
        <v>0</v>
      </c>
      <c r="F1010" s="1859">
        <v>0</v>
      </c>
      <c r="G1010" s="1872" t="s">
        <v>4800</v>
      </c>
      <c r="H1010" s="1856">
        <v>0</v>
      </c>
      <c r="I1010" s="1856">
        <v>0</v>
      </c>
      <c r="J1010" s="1873">
        <v>0</v>
      </c>
      <c r="K1010" s="1860"/>
      <c r="L1010" s="1854">
        <v>13089023310</v>
      </c>
      <c r="M1010" s="1855">
        <v>0</v>
      </c>
      <c r="N1010" s="1855">
        <v>0</v>
      </c>
      <c r="O1010" s="1855">
        <v>0</v>
      </c>
    </row>
    <row r="1011" spans="3:15" ht="13.5">
      <c r="C1011" s="1861" t="s">
        <v>4801</v>
      </c>
      <c r="D1011" s="1858">
        <v>1</v>
      </c>
      <c r="E1011" s="1858">
        <v>0</v>
      </c>
      <c r="F1011" s="1859">
        <v>1</v>
      </c>
      <c r="G1011" s="1872" t="s">
        <v>4801</v>
      </c>
      <c r="H1011" s="1856">
        <v>1</v>
      </c>
      <c r="I1011" s="1856">
        <v>0</v>
      </c>
      <c r="J1011" s="1873">
        <v>1</v>
      </c>
      <c r="K1011" s="1860"/>
      <c r="L1011" s="1854">
        <v>13089023311</v>
      </c>
      <c r="M1011" s="1855">
        <v>1</v>
      </c>
      <c r="N1011" s="1855">
        <v>0</v>
      </c>
      <c r="O1011" s="1855">
        <v>1</v>
      </c>
    </row>
    <row r="1012" spans="3:15" ht="13.5">
      <c r="C1012" s="1861" t="s">
        <v>4802</v>
      </c>
      <c r="D1012" s="1858">
        <v>0</v>
      </c>
      <c r="E1012" s="1858">
        <v>0</v>
      </c>
      <c r="F1012" s="1859">
        <v>0</v>
      </c>
      <c r="G1012" s="1872" t="s">
        <v>4802</v>
      </c>
      <c r="H1012" s="1856">
        <v>0</v>
      </c>
      <c r="I1012" s="1856">
        <v>0</v>
      </c>
      <c r="J1012" s="1873">
        <v>0</v>
      </c>
      <c r="K1012" s="1860"/>
      <c r="L1012" s="1854">
        <v>13089023312</v>
      </c>
      <c r="M1012" s="1855">
        <v>0</v>
      </c>
      <c r="N1012" s="1855">
        <v>0</v>
      </c>
      <c r="O1012" s="1855">
        <v>0</v>
      </c>
    </row>
    <row r="1013" spans="3:15" ht="13.5">
      <c r="C1013" s="1861" t="s">
        <v>4803</v>
      </c>
      <c r="D1013" s="1858">
        <v>0</v>
      </c>
      <c r="E1013" s="1858">
        <v>0</v>
      </c>
      <c r="F1013" s="1859">
        <v>0</v>
      </c>
      <c r="G1013" s="1872" t="s">
        <v>4803</v>
      </c>
      <c r="H1013" s="1856">
        <v>0</v>
      </c>
      <c r="I1013" s="1856">
        <v>0</v>
      </c>
      <c r="J1013" s="1873">
        <v>0</v>
      </c>
      <c r="K1013" s="1860"/>
      <c r="L1013" s="1854">
        <v>13089023313</v>
      </c>
      <c r="M1013" s="1855">
        <v>0</v>
      </c>
      <c r="N1013" s="1855">
        <v>0</v>
      </c>
      <c r="O1013" s="1855">
        <v>0</v>
      </c>
    </row>
    <row r="1014" spans="3:15" ht="13.5">
      <c r="C1014" s="1861" t="s">
        <v>4804</v>
      </c>
      <c r="D1014" s="1858">
        <v>0</v>
      </c>
      <c r="E1014" s="1858">
        <v>0</v>
      </c>
      <c r="F1014" s="1859">
        <v>0</v>
      </c>
      <c r="G1014" s="1872" t="s">
        <v>4804</v>
      </c>
      <c r="H1014" s="1856">
        <v>0</v>
      </c>
      <c r="I1014" s="1856">
        <v>0</v>
      </c>
      <c r="J1014" s="1873">
        <v>0</v>
      </c>
      <c r="K1014" s="1860"/>
      <c r="L1014" s="1854">
        <v>13089023314</v>
      </c>
      <c r="M1014" s="1855">
        <v>0</v>
      </c>
      <c r="N1014" s="1855">
        <v>0</v>
      </c>
      <c r="O1014" s="1855">
        <v>0</v>
      </c>
    </row>
    <row r="1015" spans="3:15" ht="13.5">
      <c r="C1015" s="1861" t="s">
        <v>4805</v>
      </c>
      <c r="D1015" s="1858">
        <v>1</v>
      </c>
      <c r="E1015" s="1858">
        <v>1</v>
      </c>
      <c r="F1015" s="1859">
        <v>2</v>
      </c>
      <c r="G1015" s="1872" t="s">
        <v>4805</v>
      </c>
      <c r="H1015" s="1856">
        <v>1</v>
      </c>
      <c r="I1015" s="1856">
        <v>0</v>
      </c>
      <c r="J1015" s="1873">
        <v>1</v>
      </c>
      <c r="K1015" s="1860"/>
      <c r="L1015" s="1854">
        <v>13089023315</v>
      </c>
      <c r="M1015" s="1855">
        <v>1</v>
      </c>
      <c r="N1015" s="1855">
        <v>1</v>
      </c>
      <c r="O1015" s="1855">
        <v>2</v>
      </c>
    </row>
    <row r="1016" spans="3:15" ht="13.5">
      <c r="C1016" s="1861" t="s">
        <v>4806</v>
      </c>
      <c r="D1016" s="1858">
        <v>0</v>
      </c>
      <c r="E1016" s="1858">
        <v>0</v>
      </c>
      <c r="F1016" s="1859">
        <v>0</v>
      </c>
      <c r="G1016" s="1872" t="s">
        <v>4806</v>
      </c>
      <c r="H1016" s="1856">
        <v>1</v>
      </c>
      <c r="I1016" s="1856">
        <v>1</v>
      </c>
      <c r="J1016" s="1873">
        <v>1</v>
      </c>
      <c r="K1016" s="1860"/>
      <c r="L1016" s="1854">
        <v>13089023316</v>
      </c>
      <c r="M1016" s="1855">
        <v>1</v>
      </c>
      <c r="N1016" s="1855">
        <v>1</v>
      </c>
      <c r="O1016" s="1855">
        <v>1</v>
      </c>
    </row>
    <row r="1017" spans="3:15" ht="13.5">
      <c r="C1017" s="1861" t="s">
        <v>4807</v>
      </c>
      <c r="D1017" s="1858">
        <v>0</v>
      </c>
      <c r="E1017" s="1858">
        <v>0</v>
      </c>
      <c r="F1017" s="1859">
        <v>0</v>
      </c>
      <c r="G1017" s="1872" t="s">
        <v>4807</v>
      </c>
      <c r="H1017" s="1856">
        <v>0</v>
      </c>
      <c r="I1017" s="1856">
        <v>0</v>
      </c>
      <c r="J1017" s="1873">
        <v>0</v>
      </c>
      <c r="K1017" s="1860"/>
      <c r="L1017" s="1854">
        <v>13089023410</v>
      </c>
      <c r="M1017" s="1855">
        <v>0</v>
      </c>
      <c r="N1017" s="1855">
        <v>0</v>
      </c>
      <c r="O1017" s="1855">
        <v>0</v>
      </c>
    </row>
    <row r="1018" spans="3:15" ht="13.5">
      <c r="C1018" s="1861" t="s">
        <v>4808</v>
      </c>
      <c r="D1018" s="1858">
        <v>0</v>
      </c>
      <c r="E1018" s="1858">
        <v>0</v>
      </c>
      <c r="F1018" s="1859">
        <v>0</v>
      </c>
      <c r="G1018" s="1872" t="s">
        <v>4808</v>
      </c>
      <c r="H1018" s="1856">
        <v>0</v>
      </c>
      <c r="I1018" s="1856" t="s">
        <v>3909</v>
      </c>
      <c r="J1018" s="1873">
        <v>0</v>
      </c>
      <c r="K1018" s="1860"/>
      <c r="L1018" s="1854">
        <v>13089023411</v>
      </c>
      <c r="M1018" s="1855">
        <v>0</v>
      </c>
      <c r="N1018" s="1855">
        <v>0</v>
      </c>
      <c r="O1018" s="1855">
        <v>0</v>
      </c>
    </row>
    <row r="1019" spans="3:15" ht="13.5">
      <c r="C1019" s="1861" t="s">
        <v>4809</v>
      </c>
      <c r="D1019" s="1858">
        <v>0</v>
      </c>
      <c r="E1019" s="1858">
        <v>0</v>
      </c>
      <c r="F1019" s="1859">
        <v>0</v>
      </c>
      <c r="G1019" s="1872" t="s">
        <v>4809</v>
      </c>
      <c r="H1019" s="1856">
        <v>0</v>
      </c>
      <c r="I1019" s="1856">
        <v>0</v>
      </c>
      <c r="J1019" s="1873">
        <v>0</v>
      </c>
      <c r="K1019" s="1860"/>
      <c r="L1019" s="1854">
        <v>13089023412</v>
      </c>
      <c r="M1019" s="1855">
        <v>0</v>
      </c>
      <c r="N1019" s="1855">
        <v>0</v>
      </c>
      <c r="O1019" s="1855">
        <v>0</v>
      </c>
    </row>
    <row r="1020" spans="3:15" ht="13.5">
      <c r="C1020" s="1861" t="s">
        <v>4810</v>
      </c>
      <c r="D1020" s="1858">
        <v>0</v>
      </c>
      <c r="E1020" s="1858">
        <v>0</v>
      </c>
      <c r="F1020" s="1859">
        <v>0</v>
      </c>
      <c r="G1020" s="1872" t="s">
        <v>4810</v>
      </c>
      <c r="H1020" s="1856">
        <v>0</v>
      </c>
      <c r="I1020" s="1856">
        <v>1</v>
      </c>
      <c r="J1020" s="1873">
        <v>0</v>
      </c>
      <c r="K1020" s="1860"/>
      <c r="L1020" s="1854">
        <v>13089023413</v>
      </c>
      <c r="M1020" s="1855">
        <v>0</v>
      </c>
      <c r="N1020" s="1855">
        <v>1</v>
      </c>
      <c r="O1020" s="1855">
        <v>0</v>
      </c>
    </row>
    <row r="1021" spans="3:15" ht="13.5">
      <c r="C1021" s="1861" t="s">
        <v>4811</v>
      </c>
      <c r="D1021" s="1858">
        <v>0</v>
      </c>
      <c r="E1021" s="1858">
        <v>0</v>
      </c>
      <c r="F1021" s="1859">
        <v>0</v>
      </c>
      <c r="G1021" s="1872" t="s">
        <v>4811</v>
      </c>
      <c r="H1021" s="1856">
        <v>1</v>
      </c>
      <c r="I1021" s="1856">
        <v>1</v>
      </c>
      <c r="J1021" s="1873">
        <v>2</v>
      </c>
      <c r="K1021" s="1860"/>
      <c r="L1021" s="1854">
        <v>13089023414</v>
      </c>
      <c r="M1021" s="1855">
        <v>1</v>
      </c>
      <c r="N1021" s="1855">
        <v>1</v>
      </c>
      <c r="O1021" s="1855">
        <v>2</v>
      </c>
    </row>
    <row r="1022" spans="3:15" ht="13.5">
      <c r="C1022" s="1861" t="s">
        <v>4812</v>
      </c>
      <c r="D1022" s="1858">
        <v>0</v>
      </c>
      <c r="E1022" s="1858">
        <v>0</v>
      </c>
      <c r="F1022" s="1859">
        <v>0</v>
      </c>
      <c r="G1022" s="1872" t="s">
        <v>4812</v>
      </c>
      <c r="H1022" s="1856">
        <v>0</v>
      </c>
      <c r="I1022" s="1856">
        <v>1</v>
      </c>
      <c r="J1022" s="1873">
        <v>1</v>
      </c>
      <c r="K1022" s="1860"/>
      <c r="L1022" s="1854">
        <v>13089023416</v>
      </c>
      <c r="M1022" s="1855">
        <v>0</v>
      </c>
      <c r="N1022" s="1855">
        <v>1</v>
      </c>
      <c r="O1022" s="1855">
        <v>1</v>
      </c>
    </row>
    <row r="1023" spans="3:15" ht="13.5">
      <c r="C1023" s="1861" t="s">
        <v>4813</v>
      </c>
      <c r="D1023" s="1858">
        <v>0</v>
      </c>
      <c r="E1023" s="1858">
        <v>0</v>
      </c>
      <c r="F1023" s="1859">
        <v>0</v>
      </c>
      <c r="G1023" s="1872" t="s">
        <v>4813</v>
      </c>
      <c r="H1023" s="1856">
        <v>0</v>
      </c>
      <c r="I1023" s="1856">
        <v>0</v>
      </c>
      <c r="J1023" s="1873">
        <v>0</v>
      </c>
      <c r="K1023" s="1860"/>
      <c r="L1023" s="1854">
        <v>13089023418</v>
      </c>
      <c r="M1023" s="1855">
        <v>0</v>
      </c>
      <c r="N1023" s="1855">
        <v>0</v>
      </c>
      <c r="O1023" s="1855">
        <v>0</v>
      </c>
    </row>
    <row r="1024" spans="3:15" ht="13.5">
      <c r="C1024" s="1861" t="s">
        <v>4814</v>
      </c>
      <c r="D1024" s="1858">
        <v>0</v>
      </c>
      <c r="E1024" s="1858">
        <v>0</v>
      </c>
      <c r="F1024" s="1859">
        <v>0</v>
      </c>
      <c r="G1024" s="1872" t="s">
        <v>4814</v>
      </c>
      <c r="H1024" s="1856">
        <v>1</v>
      </c>
      <c r="I1024" s="1856">
        <v>1</v>
      </c>
      <c r="J1024" s="1873">
        <v>2</v>
      </c>
      <c r="K1024" s="1860"/>
      <c r="L1024" s="1854">
        <v>13089023419</v>
      </c>
      <c r="M1024" s="1855">
        <v>1</v>
      </c>
      <c r="N1024" s="1855">
        <v>1</v>
      </c>
      <c r="O1024" s="1855">
        <v>2</v>
      </c>
    </row>
    <row r="1025" spans="3:15" ht="13.5">
      <c r="C1025" s="1861" t="s">
        <v>4815</v>
      </c>
      <c r="D1025" s="1858">
        <v>0</v>
      </c>
      <c r="E1025" s="1858">
        <v>0</v>
      </c>
      <c r="F1025" s="1859">
        <v>0</v>
      </c>
      <c r="G1025" s="1872" t="s">
        <v>4815</v>
      </c>
      <c r="H1025" s="1856">
        <v>0</v>
      </c>
      <c r="I1025" s="1856">
        <v>0</v>
      </c>
      <c r="J1025" s="1873">
        <v>0</v>
      </c>
      <c r="K1025" s="1860"/>
      <c r="L1025" s="1854">
        <v>13089023421</v>
      </c>
      <c r="M1025" s="1855">
        <v>0</v>
      </c>
      <c r="N1025" s="1855">
        <v>0</v>
      </c>
      <c r="O1025" s="1855">
        <v>0</v>
      </c>
    </row>
    <row r="1026" spans="3:15" ht="13.5">
      <c r="C1026" s="1861" t="s">
        <v>4816</v>
      </c>
      <c r="D1026" s="1858">
        <v>0</v>
      </c>
      <c r="E1026" s="1858">
        <v>0</v>
      </c>
      <c r="F1026" s="1859">
        <v>0</v>
      </c>
      <c r="G1026" s="1872" t="s">
        <v>4816</v>
      </c>
      <c r="H1026" s="1856">
        <v>0</v>
      </c>
      <c r="I1026" s="1856">
        <v>0</v>
      </c>
      <c r="J1026" s="1873">
        <v>0</v>
      </c>
      <c r="K1026" s="1860"/>
      <c r="L1026" s="1854">
        <v>13089023422</v>
      </c>
      <c r="M1026" s="1855">
        <v>0</v>
      </c>
      <c r="N1026" s="1855">
        <v>0</v>
      </c>
      <c r="O1026" s="1855">
        <v>0</v>
      </c>
    </row>
    <row r="1027" spans="3:15" ht="13.5">
      <c r="C1027" s="1861" t="s">
        <v>4817</v>
      </c>
      <c r="D1027" s="1858">
        <v>0</v>
      </c>
      <c r="E1027" s="1858">
        <v>0</v>
      </c>
      <c r="F1027" s="1859">
        <v>0</v>
      </c>
      <c r="G1027" s="1872" t="s">
        <v>4817</v>
      </c>
      <c r="H1027" s="1856">
        <v>1</v>
      </c>
      <c r="I1027" s="1856">
        <v>0</v>
      </c>
      <c r="J1027" s="1873">
        <v>1</v>
      </c>
      <c r="K1027" s="1860"/>
      <c r="L1027" s="1854">
        <v>13089023423</v>
      </c>
      <c r="M1027" s="1855">
        <v>1</v>
      </c>
      <c r="N1027" s="1855">
        <v>0</v>
      </c>
      <c r="O1027" s="1855">
        <v>1</v>
      </c>
    </row>
    <row r="1028" spans="3:15" ht="13.5">
      <c r="C1028" s="1861" t="s">
        <v>4818</v>
      </c>
      <c r="D1028" s="1858">
        <v>0</v>
      </c>
      <c r="E1028" s="1858">
        <v>0</v>
      </c>
      <c r="F1028" s="1859">
        <v>0</v>
      </c>
      <c r="G1028" s="1872" t="s">
        <v>4818</v>
      </c>
      <c r="H1028" s="1856">
        <v>0</v>
      </c>
      <c r="I1028" s="1856">
        <v>1</v>
      </c>
      <c r="J1028" s="1873">
        <v>1</v>
      </c>
      <c r="K1028" s="1860"/>
      <c r="L1028" s="1854">
        <v>13089023424</v>
      </c>
      <c r="M1028" s="1855">
        <v>0</v>
      </c>
      <c r="N1028" s="1855">
        <v>1</v>
      </c>
      <c r="O1028" s="1855">
        <v>1</v>
      </c>
    </row>
    <row r="1029" spans="3:15" ht="13.5">
      <c r="C1029" s="1861" t="s">
        <v>4819</v>
      </c>
      <c r="D1029" s="1858">
        <v>0</v>
      </c>
      <c r="E1029" s="1858">
        <v>0</v>
      </c>
      <c r="F1029" s="1859">
        <v>0</v>
      </c>
      <c r="G1029" s="1872" t="s">
        <v>4819</v>
      </c>
      <c r="H1029" s="1856">
        <v>0</v>
      </c>
      <c r="I1029" s="1856">
        <v>1</v>
      </c>
      <c r="J1029" s="1873">
        <v>1</v>
      </c>
      <c r="K1029" s="1860"/>
      <c r="L1029" s="1854">
        <v>13089023425</v>
      </c>
      <c r="M1029" s="1855">
        <v>0</v>
      </c>
      <c r="N1029" s="1855">
        <v>1</v>
      </c>
      <c r="O1029" s="1855">
        <v>1</v>
      </c>
    </row>
    <row r="1030" spans="3:15" ht="13.5">
      <c r="C1030" s="1861" t="s">
        <v>4820</v>
      </c>
      <c r="D1030" s="1858">
        <v>1</v>
      </c>
      <c r="E1030" s="1858">
        <v>0</v>
      </c>
      <c r="F1030" s="1859">
        <v>1</v>
      </c>
      <c r="G1030" s="1872" t="s">
        <v>4820</v>
      </c>
      <c r="H1030" s="1856">
        <v>1</v>
      </c>
      <c r="I1030" s="1856">
        <v>1</v>
      </c>
      <c r="J1030" s="1873">
        <v>2</v>
      </c>
      <c r="K1030" s="1860"/>
      <c r="L1030" s="1854">
        <v>13089023426</v>
      </c>
      <c r="M1030" s="1855">
        <v>1</v>
      </c>
      <c r="N1030" s="1855">
        <v>1</v>
      </c>
      <c r="O1030" s="1855">
        <v>2</v>
      </c>
    </row>
    <row r="1031" spans="3:15" ht="13.5">
      <c r="C1031" s="1861" t="s">
        <v>4821</v>
      </c>
      <c r="D1031" s="1858">
        <v>1</v>
      </c>
      <c r="E1031" s="1858">
        <v>0</v>
      </c>
      <c r="F1031" s="1859">
        <v>1</v>
      </c>
      <c r="G1031" s="1872" t="s">
        <v>4821</v>
      </c>
      <c r="H1031" s="1856">
        <v>1</v>
      </c>
      <c r="I1031" s="1856">
        <v>0</v>
      </c>
      <c r="J1031" s="1873">
        <v>1</v>
      </c>
      <c r="K1031" s="1860"/>
      <c r="L1031" s="1854">
        <v>13089023427</v>
      </c>
      <c r="M1031" s="1855">
        <v>1</v>
      </c>
      <c r="N1031" s="1855">
        <v>0</v>
      </c>
      <c r="O1031" s="1855">
        <v>1</v>
      </c>
    </row>
    <row r="1032" spans="3:15" ht="13.5">
      <c r="C1032" s="1861" t="s">
        <v>4822</v>
      </c>
      <c r="D1032" s="1858">
        <v>0</v>
      </c>
      <c r="E1032" s="1858">
        <v>0</v>
      </c>
      <c r="F1032" s="1859">
        <v>0</v>
      </c>
      <c r="G1032" s="1872" t="s">
        <v>4822</v>
      </c>
      <c r="H1032" s="1856">
        <v>0</v>
      </c>
      <c r="I1032" s="1856">
        <v>0</v>
      </c>
      <c r="J1032" s="1873">
        <v>0</v>
      </c>
      <c r="K1032" s="1860"/>
      <c r="L1032" s="1854">
        <v>13089023428</v>
      </c>
      <c r="M1032" s="1855">
        <v>0</v>
      </c>
      <c r="N1032" s="1855">
        <v>0</v>
      </c>
      <c r="O1032" s="1855">
        <v>0</v>
      </c>
    </row>
    <row r="1033" spans="3:15" ht="13.5">
      <c r="C1033" s="1861" t="s">
        <v>4823</v>
      </c>
      <c r="D1033" s="1858">
        <v>0</v>
      </c>
      <c r="E1033" s="1858">
        <v>0</v>
      </c>
      <c r="F1033" s="1859">
        <v>0</v>
      </c>
      <c r="G1033" s="1872" t="s">
        <v>4823</v>
      </c>
      <c r="H1033" s="1856">
        <v>0</v>
      </c>
      <c r="I1033" s="1856">
        <v>0</v>
      </c>
      <c r="J1033" s="1873">
        <v>0</v>
      </c>
      <c r="K1033" s="1860"/>
      <c r="L1033" s="1854">
        <v>13089023501</v>
      </c>
      <c r="M1033" s="1855">
        <v>0</v>
      </c>
      <c r="N1033" s="1855">
        <v>0</v>
      </c>
      <c r="O1033" s="1855">
        <v>0</v>
      </c>
    </row>
    <row r="1034" spans="3:15" ht="13.5">
      <c r="C1034" s="1861" t="s">
        <v>4824</v>
      </c>
      <c r="D1034" s="1858">
        <v>0</v>
      </c>
      <c r="E1034" s="1858">
        <v>0</v>
      </c>
      <c r="F1034" s="1859">
        <v>0</v>
      </c>
      <c r="G1034" s="1872" t="s">
        <v>4824</v>
      </c>
      <c r="H1034" s="1856">
        <v>0</v>
      </c>
      <c r="I1034" s="1856">
        <v>0</v>
      </c>
      <c r="J1034" s="1873">
        <v>0</v>
      </c>
      <c r="K1034" s="1860"/>
      <c r="L1034" s="1854">
        <v>13089023504</v>
      </c>
      <c r="M1034" s="1855">
        <v>0</v>
      </c>
      <c r="N1034" s="1855">
        <v>0</v>
      </c>
      <c r="O1034" s="1855">
        <v>0</v>
      </c>
    </row>
    <row r="1035" spans="3:15" ht="13.5">
      <c r="C1035" s="1861" t="s">
        <v>4825</v>
      </c>
      <c r="D1035" s="1858">
        <v>0</v>
      </c>
      <c r="E1035" s="1858">
        <v>0</v>
      </c>
      <c r="F1035" s="1859">
        <v>0</v>
      </c>
      <c r="G1035" s="1872" t="s">
        <v>4825</v>
      </c>
      <c r="H1035" s="1856">
        <v>0</v>
      </c>
      <c r="I1035" s="1856">
        <v>0</v>
      </c>
      <c r="J1035" s="1873">
        <v>0</v>
      </c>
      <c r="K1035" s="1860"/>
      <c r="L1035" s="1854">
        <v>13089023505</v>
      </c>
      <c r="M1035" s="1855">
        <v>0</v>
      </c>
      <c r="N1035" s="1855">
        <v>0</v>
      </c>
      <c r="O1035" s="1855">
        <v>0</v>
      </c>
    </row>
    <row r="1036" spans="3:15" ht="13.5">
      <c r="C1036" s="1861" t="s">
        <v>4826</v>
      </c>
      <c r="D1036" s="1858">
        <v>0</v>
      </c>
      <c r="E1036" s="1858">
        <v>0</v>
      </c>
      <c r="F1036" s="1859">
        <v>0</v>
      </c>
      <c r="G1036" s="1872" t="s">
        <v>4826</v>
      </c>
      <c r="H1036" s="1856">
        <v>0</v>
      </c>
      <c r="I1036" s="1856">
        <v>0</v>
      </c>
      <c r="J1036" s="1873">
        <v>0</v>
      </c>
      <c r="K1036" s="1860"/>
      <c r="L1036" s="1854">
        <v>13089023506</v>
      </c>
      <c r="M1036" s="1855">
        <v>0</v>
      </c>
      <c r="N1036" s="1855">
        <v>0</v>
      </c>
      <c r="O1036" s="1855">
        <v>0</v>
      </c>
    </row>
    <row r="1037" spans="3:15" ht="13.5">
      <c r="C1037" s="1861" t="s">
        <v>4827</v>
      </c>
      <c r="D1037" s="1858">
        <v>0</v>
      </c>
      <c r="E1037" s="1858">
        <v>0</v>
      </c>
      <c r="F1037" s="1859">
        <v>0</v>
      </c>
      <c r="G1037" s="1872" t="s">
        <v>4827</v>
      </c>
      <c r="H1037" s="1856">
        <v>0</v>
      </c>
      <c r="I1037" s="1856">
        <v>1</v>
      </c>
      <c r="J1037" s="1873">
        <v>1</v>
      </c>
      <c r="K1037" s="1860"/>
      <c r="L1037" s="1854">
        <v>13089023507</v>
      </c>
      <c r="M1037" s="1855">
        <v>0</v>
      </c>
      <c r="N1037" s="1855">
        <v>1</v>
      </c>
      <c r="O1037" s="1855">
        <v>1</v>
      </c>
    </row>
    <row r="1038" spans="3:15" ht="13.5">
      <c r="C1038" s="1861" t="s">
        <v>4828</v>
      </c>
      <c r="D1038" s="1858">
        <v>0</v>
      </c>
      <c r="E1038" s="1858">
        <v>0</v>
      </c>
      <c r="F1038" s="1859">
        <v>0</v>
      </c>
      <c r="G1038" s="1872" t="s">
        <v>4828</v>
      </c>
      <c r="H1038" s="1856">
        <v>0</v>
      </c>
      <c r="I1038" s="1856">
        <v>0</v>
      </c>
      <c r="J1038" s="1873">
        <v>0</v>
      </c>
      <c r="K1038" s="1860"/>
      <c r="L1038" s="1854">
        <v>13089023601</v>
      </c>
      <c r="M1038" s="1855">
        <v>0</v>
      </c>
      <c r="N1038" s="1855">
        <v>0</v>
      </c>
      <c r="O1038" s="1855">
        <v>0</v>
      </c>
    </row>
    <row r="1039" spans="3:15" ht="13.5">
      <c r="C1039" s="1861" t="s">
        <v>4829</v>
      </c>
      <c r="D1039" s="1858">
        <v>0</v>
      </c>
      <c r="E1039" s="1858">
        <v>0</v>
      </c>
      <c r="F1039" s="1859">
        <v>0</v>
      </c>
      <c r="G1039" s="1872" t="s">
        <v>4829</v>
      </c>
      <c r="H1039" s="1856">
        <v>0</v>
      </c>
      <c r="I1039" s="1856">
        <v>0</v>
      </c>
      <c r="J1039" s="1873">
        <v>0</v>
      </c>
      <c r="K1039" s="1860"/>
      <c r="L1039" s="1854">
        <v>13089023602</v>
      </c>
      <c r="M1039" s="1855">
        <v>0</v>
      </c>
      <c r="N1039" s="1855">
        <v>0</v>
      </c>
      <c r="O1039" s="1855">
        <v>0</v>
      </c>
    </row>
    <row r="1040" spans="3:15" ht="13.5">
      <c r="C1040" s="1861" t="s">
        <v>4830</v>
      </c>
      <c r="D1040" s="1858">
        <v>0</v>
      </c>
      <c r="E1040" s="1858">
        <v>0</v>
      </c>
      <c r="F1040" s="1859">
        <v>0</v>
      </c>
      <c r="G1040" s="1872" t="s">
        <v>4830</v>
      </c>
      <c r="H1040" s="1856">
        <v>0</v>
      </c>
      <c r="I1040" s="1856">
        <v>0</v>
      </c>
      <c r="J1040" s="1873">
        <v>0</v>
      </c>
      <c r="K1040" s="1860"/>
      <c r="L1040" s="1854">
        <v>13089023603</v>
      </c>
      <c r="M1040" s="1855">
        <v>0</v>
      </c>
      <c r="N1040" s="1855">
        <v>0</v>
      </c>
      <c r="O1040" s="1855">
        <v>0</v>
      </c>
    </row>
    <row r="1041" spans="3:15" ht="13.5">
      <c r="C1041" s="1861" t="s">
        <v>4831</v>
      </c>
      <c r="D1041" s="1858">
        <v>0</v>
      </c>
      <c r="E1041" s="1858">
        <v>0</v>
      </c>
      <c r="F1041" s="1859">
        <v>0</v>
      </c>
      <c r="G1041" s="1872" t="s">
        <v>4831</v>
      </c>
      <c r="H1041" s="1856">
        <v>0</v>
      </c>
      <c r="I1041" s="1856" t="s">
        <v>3909</v>
      </c>
      <c r="J1041" s="1873">
        <v>0</v>
      </c>
      <c r="K1041" s="1860"/>
      <c r="L1041" s="1854">
        <v>13089023700</v>
      </c>
      <c r="M1041" s="1855">
        <v>0</v>
      </c>
      <c r="N1041" s="1855">
        <v>0</v>
      </c>
      <c r="O1041" s="1855">
        <v>0</v>
      </c>
    </row>
    <row r="1042" spans="3:15" ht="13.5">
      <c r="C1042" s="1861" t="s">
        <v>4832</v>
      </c>
      <c r="D1042" s="1858">
        <v>1</v>
      </c>
      <c r="E1042" s="1858">
        <v>0</v>
      </c>
      <c r="F1042" s="1859">
        <v>1</v>
      </c>
      <c r="G1042" s="1872" t="s">
        <v>4832</v>
      </c>
      <c r="H1042" s="1856">
        <v>1</v>
      </c>
      <c r="I1042" s="1856">
        <v>0</v>
      </c>
      <c r="J1042" s="1873">
        <v>1</v>
      </c>
      <c r="K1042" s="1860"/>
      <c r="L1042" s="1854">
        <v>13089023801</v>
      </c>
      <c r="M1042" s="1855">
        <v>1</v>
      </c>
      <c r="N1042" s="1855">
        <v>0</v>
      </c>
      <c r="O1042" s="1855">
        <v>1</v>
      </c>
    </row>
    <row r="1043" spans="3:15" ht="13.5">
      <c r="C1043" s="1861" t="s">
        <v>4833</v>
      </c>
      <c r="D1043" s="1858">
        <v>0</v>
      </c>
      <c r="E1043" s="1858">
        <v>0</v>
      </c>
      <c r="F1043" s="1859">
        <v>0</v>
      </c>
      <c r="G1043" s="1872" t="s">
        <v>4833</v>
      </c>
      <c r="H1043" s="1856">
        <v>0</v>
      </c>
      <c r="I1043" s="1856">
        <v>0</v>
      </c>
      <c r="J1043" s="1873">
        <v>0</v>
      </c>
      <c r="K1043" s="1860"/>
      <c r="L1043" s="1854">
        <v>13089023802</v>
      </c>
      <c r="M1043" s="1855">
        <v>0</v>
      </c>
      <c r="N1043" s="1855">
        <v>0</v>
      </c>
      <c r="O1043" s="1855">
        <v>0</v>
      </c>
    </row>
    <row r="1044" spans="3:15" ht="13.5">
      <c r="C1044" s="1861" t="s">
        <v>4834</v>
      </c>
      <c r="D1044" s="1858">
        <v>0</v>
      </c>
      <c r="E1044" s="1858">
        <v>0</v>
      </c>
      <c r="F1044" s="1859">
        <v>0</v>
      </c>
      <c r="G1044" s="1872" t="s">
        <v>4834</v>
      </c>
      <c r="H1044" s="1856">
        <v>0</v>
      </c>
      <c r="I1044" s="1856">
        <v>0</v>
      </c>
      <c r="J1044" s="1873">
        <v>0</v>
      </c>
      <c r="K1044" s="1860"/>
      <c r="L1044" s="1854">
        <v>13089023803</v>
      </c>
      <c r="M1044" s="1855">
        <v>0</v>
      </c>
      <c r="N1044" s="1855">
        <v>0</v>
      </c>
      <c r="O1044" s="1855">
        <v>0</v>
      </c>
    </row>
    <row r="1045" spans="3:15" ht="13.5">
      <c r="C1045" s="1861" t="s">
        <v>4835</v>
      </c>
      <c r="D1045" s="1858" t="s">
        <v>3909</v>
      </c>
      <c r="E1045" s="1858" t="s">
        <v>3909</v>
      </c>
      <c r="F1045" s="1859">
        <v>0</v>
      </c>
      <c r="G1045" s="1872" t="s">
        <v>4835</v>
      </c>
      <c r="H1045" s="1856" t="s">
        <v>3909</v>
      </c>
      <c r="I1045" s="1856" t="s">
        <v>3909</v>
      </c>
      <c r="J1045" s="1873">
        <v>0</v>
      </c>
      <c r="K1045" s="1860"/>
      <c r="L1045" s="1854">
        <v>13089980000</v>
      </c>
      <c r="M1045" s="1855">
        <v>0</v>
      </c>
      <c r="N1045" s="1855">
        <v>0</v>
      </c>
      <c r="O1045" s="1855">
        <v>0</v>
      </c>
    </row>
    <row r="1046" spans="3:15" ht="13.5">
      <c r="C1046" s="1861" t="s">
        <v>4836</v>
      </c>
      <c r="D1046" s="1858">
        <v>0</v>
      </c>
      <c r="E1046" s="1858">
        <v>0</v>
      </c>
      <c r="F1046" s="1859">
        <v>0</v>
      </c>
      <c r="G1046" s="1872" t="s">
        <v>4836</v>
      </c>
      <c r="H1046" s="1856">
        <v>0</v>
      </c>
      <c r="I1046" s="1856">
        <v>1</v>
      </c>
      <c r="J1046" s="1873">
        <v>1</v>
      </c>
      <c r="K1046" s="1860"/>
      <c r="L1046" s="1854">
        <v>13091960100</v>
      </c>
      <c r="M1046" s="1855">
        <v>0</v>
      </c>
      <c r="N1046" s="1855">
        <v>1</v>
      </c>
      <c r="O1046" s="1855">
        <v>1</v>
      </c>
    </row>
    <row r="1047" spans="3:15" ht="13.5">
      <c r="C1047" s="1861" t="s">
        <v>4837</v>
      </c>
      <c r="D1047" s="1858">
        <v>0</v>
      </c>
      <c r="E1047" s="1858">
        <v>0</v>
      </c>
      <c r="F1047" s="1859">
        <v>0</v>
      </c>
      <c r="G1047" s="1872" t="s">
        <v>4837</v>
      </c>
      <c r="H1047" s="1856">
        <v>0</v>
      </c>
      <c r="I1047" s="1856">
        <v>0</v>
      </c>
      <c r="J1047" s="1873">
        <v>0</v>
      </c>
      <c r="K1047" s="1860"/>
      <c r="L1047" s="1854">
        <v>13091960200</v>
      </c>
      <c r="M1047" s="1855">
        <v>0</v>
      </c>
      <c r="N1047" s="1855">
        <v>0</v>
      </c>
      <c r="O1047" s="1855">
        <v>0</v>
      </c>
    </row>
    <row r="1048" spans="3:15" ht="13.5">
      <c r="C1048" s="1861" t="s">
        <v>4838</v>
      </c>
      <c r="D1048" s="1858">
        <v>0</v>
      </c>
      <c r="E1048" s="1858">
        <v>1</v>
      </c>
      <c r="F1048" s="1859">
        <v>1</v>
      </c>
      <c r="G1048" s="1872" t="s">
        <v>4838</v>
      </c>
      <c r="H1048" s="1856">
        <v>0</v>
      </c>
      <c r="I1048" s="1856">
        <v>1</v>
      </c>
      <c r="J1048" s="1873">
        <v>1</v>
      </c>
      <c r="K1048" s="1860"/>
      <c r="L1048" s="1854">
        <v>13091960300</v>
      </c>
      <c r="M1048" s="1855">
        <v>0</v>
      </c>
      <c r="N1048" s="1855">
        <v>1</v>
      </c>
      <c r="O1048" s="1855">
        <v>1</v>
      </c>
    </row>
    <row r="1049" spans="3:15" ht="13.5">
      <c r="C1049" s="1861" t="s">
        <v>4839</v>
      </c>
      <c r="D1049" s="1858">
        <v>0</v>
      </c>
      <c r="E1049" s="1858">
        <v>0</v>
      </c>
      <c r="F1049" s="1859">
        <v>0</v>
      </c>
      <c r="G1049" s="1872" t="s">
        <v>4839</v>
      </c>
      <c r="H1049" s="1856">
        <v>0</v>
      </c>
      <c r="I1049" s="1856">
        <v>0</v>
      </c>
      <c r="J1049" s="1873">
        <v>0</v>
      </c>
      <c r="K1049" s="1860"/>
      <c r="L1049" s="1854">
        <v>13091960400</v>
      </c>
      <c r="M1049" s="1855">
        <v>0</v>
      </c>
      <c r="N1049" s="1855">
        <v>0</v>
      </c>
      <c r="O1049" s="1855">
        <v>0</v>
      </c>
    </row>
    <row r="1050" spans="3:15" ht="13.5">
      <c r="C1050" s="1861" t="s">
        <v>4840</v>
      </c>
      <c r="D1050" s="1858">
        <v>0</v>
      </c>
      <c r="E1050" s="1858">
        <v>0</v>
      </c>
      <c r="F1050" s="1859">
        <v>0</v>
      </c>
      <c r="G1050" s="1872" t="s">
        <v>4840</v>
      </c>
      <c r="H1050" s="1856">
        <v>0</v>
      </c>
      <c r="I1050" s="1856" t="s">
        <v>3909</v>
      </c>
      <c r="J1050" s="1873">
        <v>0</v>
      </c>
      <c r="K1050" s="1860"/>
      <c r="L1050" s="1854">
        <v>13091960500</v>
      </c>
      <c r="M1050" s="1855">
        <v>0</v>
      </c>
      <c r="N1050" s="1855">
        <v>0</v>
      </c>
      <c r="O1050" s="1855">
        <v>0</v>
      </c>
    </row>
    <row r="1051" spans="3:15" ht="13.5">
      <c r="C1051" s="1861" t="s">
        <v>4841</v>
      </c>
      <c r="D1051" s="1858">
        <v>0</v>
      </c>
      <c r="E1051" s="1858">
        <v>0</v>
      </c>
      <c r="F1051" s="1859">
        <v>0</v>
      </c>
      <c r="G1051" s="1872" t="s">
        <v>4841</v>
      </c>
      <c r="H1051" s="1856">
        <v>0</v>
      </c>
      <c r="I1051" s="1856">
        <v>0</v>
      </c>
      <c r="J1051" s="1873">
        <v>0</v>
      </c>
      <c r="K1051" s="1860"/>
      <c r="L1051" s="1854">
        <v>13091960600</v>
      </c>
      <c r="M1051" s="1855">
        <v>0</v>
      </c>
      <c r="N1051" s="1855">
        <v>0</v>
      </c>
      <c r="O1051" s="1855">
        <v>0</v>
      </c>
    </row>
    <row r="1052" spans="3:15" ht="13.5">
      <c r="C1052" s="1861" t="s">
        <v>4842</v>
      </c>
      <c r="D1052" s="1858">
        <v>0</v>
      </c>
      <c r="E1052" s="1858">
        <v>0</v>
      </c>
      <c r="F1052" s="1859">
        <v>0</v>
      </c>
      <c r="G1052" s="1872" t="s">
        <v>4842</v>
      </c>
      <c r="H1052" s="1856">
        <v>0</v>
      </c>
      <c r="I1052" s="1856">
        <v>1</v>
      </c>
      <c r="J1052" s="1873">
        <v>1</v>
      </c>
      <c r="K1052" s="1860"/>
      <c r="L1052" s="1854">
        <v>13093970100</v>
      </c>
      <c r="M1052" s="1855">
        <v>0</v>
      </c>
      <c r="N1052" s="1855">
        <v>1</v>
      </c>
      <c r="O1052" s="1855">
        <v>1</v>
      </c>
    </row>
    <row r="1053" spans="3:15" ht="13.5">
      <c r="C1053" s="1861" t="s">
        <v>4843</v>
      </c>
      <c r="D1053" s="1858">
        <v>0</v>
      </c>
      <c r="E1053" s="1858">
        <v>0</v>
      </c>
      <c r="F1053" s="1859">
        <v>0</v>
      </c>
      <c r="G1053" s="1872" t="s">
        <v>4843</v>
      </c>
      <c r="H1053" s="1856">
        <v>0</v>
      </c>
      <c r="I1053" s="1856">
        <v>0</v>
      </c>
      <c r="J1053" s="1873">
        <v>0</v>
      </c>
      <c r="K1053" s="1860"/>
      <c r="L1053" s="1854">
        <v>13093970200</v>
      </c>
      <c r="M1053" s="1855">
        <v>0</v>
      </c>
      <c r="N1053" s="1855">
        <v>0</v>
      </c>
      <c r="O1053" s="1855">
        <v>0</v>
      </c>
    </row>
    <row r="1054" spans="3:15" ht="13.5">
      <c r="C1054" s="1861" t="s">
        <v>4844</v>
      </c>
      <c r="D1054" s="1858">
        <v>0</v>
      </c>
      <c r="E1054" s="1858">
        <v>0</v>
      </c>
      <c r="F1054" s="1859">
        <v>0</v>
      </c>
      <c r="G1054" s="1872" t="s">
        <v>4844</v>
      </c>
      <c r="H1054" s="1856">
        <v>0</v>
      </c>
      <c r="I1054" s="1856">
        <v>1</v>
      </c>
      <c r="J1054" s="1873">
        <v>1</v>
      </c>
      <c r="K1054" s="1860"/>
      <c r="L1054" s="1854">
        <v>13093970300</v>
      </c>
      <c r="M1054" s="1855">
        <v>0</v>
      </c>
      <c r="N1054" s="1855">
        <v>1</v>
      </c>
      <c r="O1054" s="1855">
        <v>1</v>
      </c>
    </row>
    <row r="1055" spans="3:15" ht="13.5">
      <c r="C1055" s="1861" t="s">
        <v>4845</v>
      </c>
      <c r="D1055" s="1858">
        <v>0</v>
      </c>
      <c r="E1055" s="1858">
        <v>0</v>
      </c>
      <c r="F1055" s="1859">
        <v>0</v>
      </c>
      <c r="G1055" s="1872" t="s">
        <v>4845</v>
      </c>
      <c r="H1055" s="1856">
        <v>0</v>
      </c>
      <c r="I1055" s="1856">
        <v>0</v>
      </c>
      <c r="J1055" s="1873">
        <v>0</v>
      </c>
      <c r="K1055" s="1860"/>
      <c r="L1055" s="1854">
        <v>13095000100</v>
      </c>
      <c r="M1055" s="1855">
        <v>0</v>
      </c>
      <c r="N1055" s="1855">
        <v>0</v>
      </c>
      <c r="O1055" s="1855">
        <v>0</v>
      </c>
    </row>
    <row r="1056" spans="3:15" ht="13.5">
      <c r="C1056" s="1861" t="s">
        <v>4846</v>
      </c>
      <c r="D1056" s="1858">
        <v>0</v>
      </c>
      <c r="E1056" s="1858">
        <v>0</v>
      </c>
      <c r="F1056" s="1859">
        <v>0</v>
      </c>
      <c r="G1056" s="1872" t="s">
        <v>4846</v>
      </c>
      <c r="H1056" s="1856">
        <v>0</v>
      </c>
      <c r="I1056" s="1856">
        <v>0</v>
      </c>
      <c r="J1056" s="1873">
        <v>0</v>
      </c>
      <c r="K1056" s="1860"/>
      <c r="L1056" s="1854">
        <v>13095000200</v>
      </c>
      <c r="M1056" s="1855">
        <v>0</v>
      </c>
      <c r="N1056" s="1855">
        <v>0</v>
      </c>
      <c r="O1056" s="1855">
        <v>0</v>
      </c>
    </row>
    <row r="1057" spans="3:15" ht="13.5">
      <c r="C1057" s="1861" t="s">
        <v>4847</v>
      </c>
      <c r="D1057" s="1858">
        <v>0</v>
      </c>
      <c r="E1057" s="1858">
        <v>0</v>
      </c>
      <c r="F1057" s="1859">
        <v>0</v>
      </c>
      <c r="G1057" s="1872" t="s">
        <v>4847</v>
      </c>
      <c r="H1057" s="1856">
        <v>0</v>
      </c>
      <c r="I1057" s="1856">
        <v>1</v>
      </c>
      <c r="J1057" s="1873">
        <v>1</v>
      </c>
      <c r="K1057" s="1860"/>
      <c r="L1057" s="1854">
        <v>13095000400</v>
      </c>
      <c r="M1057" s="1855">
        <v>0</v>
      </c>
      <c r="N1057" s="1855">
        <v>1</v>
      </c>
      <c r="O1057" s="1855">
        <v>1</v>
      </c>
    </row>
    <row r="1058" spans="3:15" ht="13.5">
      <c r="C1058" s="1861" t="s">
        <v>4848</v>
      </c>
      <c r="D1058" s="1858">
        <v>1</v>
      </c>
      <c r="E1058" s="1858">
        <v>0</v>
      </c>
      <c r="F1058" s="1859">
        <v>1</v>
      </c>
      <c r="G1058" s="1872" t="s">
        <v>4848</v>
      </c>
      <c r="H1058" s="1856">
        <v>1</v>
      </c>
      <c r="I1058" s="1856">
        <v>1</v>
      </c>
      <c r="J1058" s="1873">
        <v>2</v>
      </c>
      <c r="K1058" s="1860"/>
      <c r="L1058" s="1854">
        <v>13095000501</v>
      </c>
      <c r="M1058" s="1855">
        <v>1</v>
      </c>
      <c r="N1058" s="1855">
        <v>1</v>
      </c>
      <c r="O1058" s="1855">
        <v>2</v>
      </c>
    </row>
    <row r="1059" spans="3:15" ht="13.5">
      <c r="C1059" s="1861" t="s">
        <v>4849</v>
      </c>
      <c r="D1059" s="1858">
        <v>1</v>
      </c>
      <c r="E1059" s="1858">
        <v>1</v>
      </c>
      <c r="F1059" s="1859">
        <v>2</v>
      </c>
      <c r="G1059" s="1872" t="s">
        <v>4849</v>
      </c>
      <c r="H1059" s="1856">
        <v>1</v>
      </c>
      <c r="I1059" s="1856">
        <v>1</v>
      </c>
      <c r="J1059" s="1873">
        <v>2</v>
      </c>
      <c r="K1059" s="1860"/>
      <c r="L1059" s="1854">
        <v>13095000502</v>
      </c>
      <c r="M1059" s="1855">
        <v>1</v>
      </c>
      <c r="N1059" s="1855">
        <v>1</v>
      </c>
      <c r="O1059" s="1855">
        <v>2</v>
      </c>
    </row>
    <row r="1060" spans="3:15" ht="13.5">
      <c r="C1060" s="1861" t="s">
        <v>4850</v>
      </c>
      <c r="D1060" s="1858">
        <v>0</v>
      </c>
      <c r="E1060" s="1858">
        <v>0</v>
      </c>
      <c r="F1060" s="1859">
        <v>0</v>
      </c>
      <c r="G1060" s="1872" t="s">
        <v>4850</v>
      </c>
      <c r="H1060" s="1856">
        <v>0</v>
      </c>
      <c r="I1060" s="1856">
        <v>0</v>
      </c>
      <c r="J1060" s="1873">
        <v>0</v>
      </c>
      <c r="K1060" s="1860"/>
      <c r="L1060" s="1854">
        <v>13095000600</v>
      </c>
      <c r="M1060" s="1855">
        <v>0</v>
      </c>
      <c r="N1060" s="1855">
        <v>0</v>
      </c>
      <c r="O1060" s="1855">
        <v>0</v>
      </c>
    </row>
    <row r="1061" spans="3:15" ht="13.5">
      <c r="C1061" s="1861" t="s">
        <v>4851</v>
      </c>
      <c r="D1061" s="1858">
        <v>0</v>
      </c>
      <c r="E1061" s="1858">
        <v>0</v>
      </c>
      <c r="F1061" s="1859">
        <v>0</v>
      </c>
      <c r="G1061" s="1872" t="s">
        <v>4851</v>
      </c>
      <c r="H1061" s="1856">
        <v>1</v>
      </c>
      <c r="I1061" s="1856">
        <v>0</v>
      </c>
      <c r="J1061" s="1873">
        <v>1</v>
      </c>
      <c r="K1061" s="1860"/>
      <c r="L1061" s="1854">
        <v>13095000700</v>
      </c>
      <c r="M1061" s="1855">
        <v>1</v>
      </c>
      <c r="N1061" s="1855">
        <v>0</v>
      </c>
      <c r="O1061" s="1855">
        <v>1</v>
      </c>
    </row>
    <row r="1062" spans="3:15" ht="13.5">
      <c r="C1062" s="1861" t="s">
        <v>4852</v>
      </c>
      <c r="D1062" s="1858">
        <v>0</v>
      </c>
      <c r="E1062" s="1858">
        <v>0</v>
      </c>
      <c r="F1062" s="1859">
        <v>0</v>
      </c>
      <c r="G1062" s="1872" t="s">
        <v>4852</v>
      </c>
      <c r="H1062" s="1856">
        <v>0</v>
      </c>
      <c r="I1062" s="1856">
        <v>0</v>
      </c>
      <c r="J1062" s="1873">
        <v>0</v>
      </c>
      <c r="K1062" s="1860"/>
      <c r="L1062" s="1854">
        <v>13095000800</v>
      </c>
      <c r="M1062" s="1855">
        <v>0</v>
      </c>
      <c r="N1062" s="1855">
        <v>0</v>
      </c>
      <c r="O1062" s="1855">
        <v>0</v>
      </c>
    </row>
    <row r="1063" spans="3:15" ht="13.5">
      <c r="C1063" s="1861" t="s">
        <v>4853</v>
      </c>
      <c r="D1063" s="1858">
        <v>0</v>
      </c>
      <c r="E1063" s="1858">
        <v>0</v>
      </c>
      <c r="F1063" s="1859">
        <v>0</v>
      </c>
      <c r="G1063" s="1872" t="s">
        <v>4853</v>
      </c>
      <c r="H1063" s="1856">
        <v>0</v>
      </c>
      <c r="I1063" s="1856">
        <v>0</v>
      </c>
      <c r="J1063" s="1873">
        <v>0</v>
      </c>
      <c r="K1063" s="1860"/>
      <c r="L1063" s="1854">
        <v>13095000900</v>
      </c>
      <c r="M1063" s="1855">
        <v>0</v>
      </c>
      <c r="N1063" s="1855">
        <v>0</v>
      </c>
      <c r="O1063" s="1855">
        <v>0</v>
      </c>
    </row>
    <row r="1064" spans="3:15" ht="13.5">
      <c r="C1064" s="1861" t="s">
        <v>4854</v>
      </c>
      <c r="D1064" s="1858">
        <v>0</v>
      </c>
      <c r="E1064" s="1858">
        <v>0</v>
      </c>
      <c r="F1064" s="1859">
        <v>0</v>
      </c>
      <c r="G1064" s="1872" t="s">
        <v>4854</v>
      </c>
      <c r="H1064" s="1856">
        <v>0</v>
      </c>
      <c r="I1064" s="1856">
        <v>0</v>
      </c>
      <c r="J1064" s="1873">
        <v>0</v>
      </c>
      <c r="K1064" s="1860"/>
      <c r="L1064" s="1854">
        <v>13095001000</v>
      </c>
      <c r="M1064" s="1855">
        <v>0</v>
      </c>
      <c r="N1064" s="1855">
        <v>0</v>
      </c>
      <c r="O1064" s="1855">
        <v>0</v>
      </c>
    </row>
    <row r="1065" spans="3:15" ht="13.5">
      <c r="C1065" s="1861" t="s">
        <v>4855</v>
      </c>
      <c r="D1065" s="1858">
        <v>0</v>
      </c>
      <c r="E1065" s="1858">
        <v>0</v>
      </c>
      <c r="F1065" s="1859">
        <v>0</v>
      </c>
      <c r="G1065" s="1872" t="s">
        <v>4855</v>
      </c>
      <c r="H1065" s="1856">
        <v>0</v>
      </c>
      <c r="I1065" s="1856">
        <v>0</v>
      </c>
      <c r="J1065" s="1873">
        <v>0</v>
      </c>
      <c r="K1065" s="1860"/>
      <c r="L1065" s="1854">
        <v>13095001100</v>
      </c>
      <c r="M1065" s="1855">
        <v>0</v>
      </c>
      <c r="N1065" s="1855">
        <v>0</v>
      </c>
      <c r="O1065" s="1855">
        <v>0</v>
      </c>
    </row>
    <row r="1066" spans="3:15" ht="13.5">
      <c r="C1066" s="1861" t="s">
        <v>4856</v>
      </c>
      <c r="D1066" s="1858">
        <v>0</v>
      </c>
      <c r="E1066" s="1858">
        <v>0</v>
      </c>
      <c r="F1066" s="1859">
        <v>0</v>
      </c>
      <c r="G1066" s="1872" t="s">
        <v>4856</v>
      </c>
      <c r="H1066" s="1856">
        <v>0</v>
      </c>
      <c r="I1066" s="1856" t="s">
        <v>3909</v>
      </c>
      <c r="J1066" s="1873">
        <v>0</v>
      </c>
      <c r="K1066" s="1860"/>
      <c r="L1066" s="1854">
        <v>13095001403</v>
      </c>
      <c r="M1066" s="1855">
        <v>0</v>
      </c>
      <c r="N1066" s="1855">
        <v>0</v>
      </c>
      <c r="O1066" s="1855">
        <v>0</v>
      </c>
    </row>
    <row r="1067" spans="3:15" ht="13.5">
      <c r="C1067" s="1861" t="s">
        <v>4857</v>
      </c>
      <c r="D1067" s="1858">
        <v>0</v>
      </c>
      <c r="E1067" s="1858">
        <v>0</v>
      </c>
      <c r="F1067" s="1859">
        <v>0</v>
      </c>
      <c r="G1067" s="1872" t="s">
        <v>4857</v>
      </c>
      <c r="H1067" s="1856">
        <v>0</v>
      </c>
      <c r="I1067" s="1856">
        <v>0</v>
      </c>
      <c r="J1067" s="1873">
        <v>0</v>
      </c>
      <c r="K1067" s="1860"/>
      <c r="L1067" s="1854">
        <v>13095001500</v>
      </c>
      <c r="M1067" s="1855">
        <v>0</v>
      </c>
      <c r="N1067" s="1855">
        <v>0</v>
      </c>
      <c r="O1067" s="1855">
        <v>0</v>
      </c>
    </row>
    <row r="1068" spans="3:15" ht="13.5">
      <c r="C1068" s="1861" t="s">
        <v>4858</v>
      </c>
      <c r="D1068" s="1858">
        <v>0</v>
      </c>
      <c r="E1068" s="1858">
        <v>0</v>
      </c>
      <c r="F1068" s="1859">
        <v>0</v>
      </c>
      <c r="G1068" s="1872" t="s">
        <v>4858</v>
      </c>
      <c r="H1068" s="1856">
        <v>0</v>
      </c>
      <c r="I1068" s="1856">
        <v>0</v>
      </c>
      <c r="J1068" s="1873">
        <v>0</v>
      </c>
      <c r="K1068" s="1860"/>
      <c r="L1068" s="1854">
        <v>13095010302</v>
      </c>
      <c r="M1068" s="1855">
        <v>0</v>
      </c>
      <c r="N1068" s="1855">
        <v>0</v>
      </c>
      <c r="O1068" s="1855">
        <v>0</v>
      </c>
    </row>
    <row r="1069" spans="3:15" ht="13.5">
      <c r="C1069" s="1861" t="s">
        <v>4859</v>
      </c>
      <c r="D1069" s="1858">
        <v>1</v>
      </c>
      <c r="E1069" s="1858">
        <v>1</v>
      </c>
      <c r="F1069" s="1859">
        <v>2</v>
      </c>
      <c r="G1069" s="1872" t="s">
        <v>4859</v>
      </c>
      <c r="H1069" s="1856">
        <v>1</v>
      </c>
      <c r="I1069" s="1856">
        <v>1</v>
      </c>
      <c r="J1069" s="1873">
        <v>2</v>
      </c>
      <c r="K1069" s="1860"/>
      <c r="L1069" s="1854">
        <v>13095010401</v>
      </c>
      <c r="M1069" s="1855">
        <v>1</v>
      </c>
      <c r="N1069" s="1855">
        <v>1</v>
      </c>
      <c r="O1069" s="1855">
        <v>2</v>
      </c>
    </row>
    <row r="1070" spans="3:15" ht="13.5">
      <c r="C1070" s="1861" t="s">
        <v>4860</v>
      </c>
      <c r="D1070" s="1858">
        <v>0</v>
      </c>
      <c r="E1070" s="1858">
        <v>0</v>
      </c>
      <c r="F1070" s="1859">
        <v>0</v>
      </c>
      <c r="G1070" s="1872" t="s">
        <v>4860</v>
      </c>
      <c r="H1070" s="1856">
        <v>0</v>
      </c>
      <c r="I1070" s="1856">
        <v>1</v>
      </c>
      <c r="J1070" s="1873">
        <v>1</v>
      </c>
      <c r="K1070" s="1860"/>
      <c r="L1070" s="1854">
        <v>13095010402</v>
      </c>
      <c r="M1070" s="1855">
        <v>0</v>
      </c>
      <c r="N1070" s="1855">
        <v>1</v>
      </c>
      <c r="O1070" s="1855">
        <v>1</v>
      </c>
    </row>
    <row r="1071" spans="3:15" ht="13.5">
      <c r="C1071" s="1861" t="s">
        <v>4861</v>
      </c>
      <c r="D1071" s="1858">
        <v>1</v>
      </c>
      <c r="E1071" s="1858">
        <v>1</v>
      </c>
      <c r="F1071" s="1859">
        <v>2</v>
      </c>
      <c r="G1071" s="1872" t="s">
        <v>4861</v>
      </c>
      <c r="H1071" s="1856">
        <v>1</v>
      </c>
      <c r="I1071" s="1856">
        <v>0</v>
      </c>
      <c r="J1071" s="1873">
        <v>1</v>
      </c>
      <c r="K1071" s="1860"/>
      <c r="L1071" s="1854">
        <v>13095010403</v>
      </c>
      <c r="M1071" s="1855">
        <v>1</v>
      </c>
      <c r="N1071" s="1855">
        <v>1</v>
      </c>
      <c r="O1071" s="1855">
        <v>2</v>
      </c>
    </row>
    <row r="1072" spans="3:15" ht="13.5">
      <c r="C1072" s="1861" t="s">
        <v>4862</v>
      </c>
      <c r="D1072" s="1858">
        <v>0</v>
      </c>
      <c r="E1072" s="1858">
        <v>0</v>
      </c>
      <c r="F1072" s="1859">
        <v>0</v>
      </c>
      <c r="G1072" s="1872" t="s">
        <v>4862</v>
      </c>
      <c r="H1072" s="1856">
        <v>0</v>
      </c>
      <c r="I1072" s="1856">
        <v>0</v>
      </c>
      <c r="J1072" s="1873">
        <v>0</v>
      </c>
      <c r="K1072" s="1860"/>
      <c r="L1072" s="1854">
        <v>13095010500</v>
      </c>
      <c r="M1072" s="1855">
        <v>0</v>
      </c>
      <c r="N1072" s="1855">
        <v>0</v>
      </c>
      <c r="O1072" s="1855">
        <v>0</v>
      </c>
    </row>
    <row r="1073" spans="3:15" ht="13.5">
      <c r="C1073" s="1861" t="s">
        <v>4863</v>
      </c>
      <c r="D1073" s="1858">
        <v>0</v>
      </c>
      <c r="E1073" s="1858">
        <v>0</v>
      </c>
      <c r="F1073" s="1859">
        <v>0</v>
      </c>
      <c r="G1073" s="1872" t="s">
        <v>4863</v>
      </c>
      <c r="H1073" s="1856">
        <v>0</v>
      </c>
      <c r="I1073" s="1856">
        <v>0</v>
      </c>
      <c r="J1073" s="1873">
        <v>0</v>
      </c>
      <c r="K1073" s="1860"/>
      <c r="L1073" s="1854">
        <v>13095010601</v>
      </c>
      <c r="M1073" s="1855">
        <v>0</v>
      </c>
      <c r="N1073" s="1855">
        <v>0</v>
      </c>
      <c r="O1073" s="1855">
        <v>0</v>
      </c>
    </row>
    <row r="1074" spans="3:15" ht="13.5">
      <c r="C1074" s="1861" t="s">
        <v>4864</v>
      </c>
      <c r="D1074" s="1858">
        <v>0</v>
      </c>
      <c r="E1074" s="1858">
        <v>0</v>
      </c>
      <c r="F1074" s="1859">
        <v>0</v>
      </c>
      <c r="G1074" s="1872" t="s">
        <v>4864</v>
      </c>
      <c r="H1074" s="1856">
        <v>0</v>
      </c>
      <c r="I1074" s="1856">
        <v>0</v>
      </c>
      <c r="J1074" s="1873">
        <v>0</v>
      </c>
      <c r="K1074" s="1860"/>
      <c r="L1074" s="1854">
        <v>13095010602</v>
      </c>
      <c r="M1074" s="1855">
        <v>0</v>
      </c>
      <c r="N1074" s="1855">
        <v>0</v>
      </c>
      <c r="O1074" s="1855">
        <v>0</v>
      </c>
    </row>
    <row r="1075" spans="3:15" ht="13.5">
      <c r="C1075" s="1861" t="s">
        <v>4865</v>
      </c>
      <c r="D1075" s="1858">
        <v>0</v>
      </c>
      <c r="E1075" s="1858">
        <v>0</v>
      </c>
      <c r="F1075" s="1859">
        <v>0</v>
      </c>
      <c r="G1075" s="1872" t="s">
        <v>4865</v>
      </c>
      <c r="H1075" s="1856">
        <v>0</v>
      </c>
      <c r="I1075" s="1856">
        <v>0</v>
      </c>
      <c r="J1075" s="1873">
        <v>0</v>
      </c>
      <c r="K1075" s="1860"/>
      <c r="L1075" s="1854">
        <v>13095010700</v>
      </c>
      <c r="M1075" s="1855">
        <v>0</v>
      </c>
      <c r="N1075" s="1855">
        <v>0</v>
      </c>
      <c r="O1075" s="1855">
        <v>0</v>
      </c>
    </row>
    <row r="1076" spans="3:15" ht="13.5">
      <c r="C1076" s="1861" t="s">
        <v>4866</v>
      </c>
      <c r="D1076" s="1858">
        <v>0</v>
      </c>
      <c r="E1076" s="1858">
        <v>0</v>
      </c>
      <c r="F1076" s="1859">
        <v>0</v>
      </c>
      <c r="G1076" s="1872" t="s">
        <v>4866</v>
      </c>
      <c r="H1076" s="1856">
        <v>0</v>
      </c>
      <c r="I1076" s="1856">
        <v>1</v>
      </c>
      <c r="J1076" s="1873">
        <v>1</v>
      </c>
      <c r="K1076" s="1860"/>
      <c r="L1076" s="1854">
        <v>13095010900</v>
      </c>
      <c r="M1076" s="1855">
        <v>0</v>
      </c>
      <c r="N1076" s="1855">
        <v>1</v>
      </c>
      <c r="O1076" s="1855">
        <v>1</v>
      </c>
    </row>
    <row r="1077" spans="3:15" ht="13.5">
      <c r="C1077" s="1861" t="s">
        <v>4867</v>
      </c>
      <c r="D1077" s="1858">
        <v>0</v>
      </c>
      <c r="E1077" s="1858">
        <v>0</v>
      </c>
      <c r="F1077" s="1859">
        <v>0</v>
      </c>
      <c r="G1077" s="1872" t="s">
        <v>4867</v>
      </c>
      <c r="H1077" s="1856">
        <v>0</v>
      </c>
      <c r="I1077" s="1856">
        <v>0</v>
      </c>
      <c r="J1077" s="1873">
        <v>0</v>
      </c>
      <c r="K1077" s="1860"/>
      <c r="L1077" s="1854">
        <v>13095011000</v>
      </c>
      <c r="M1077" s="1855">
        <v>0</v>
      </c>
      <c r="N1077" s="1855">
        <v>0</v>
      </c>
      <c r="O1077" s="1855">
        <v>0</v>
      </c>
    </row>
    <row r="1078" spans="3:15" ht="13.5">
      <c r="C1078" s="1861" t="s">
        <v>4868</v>
      </c>
      <c r="D1078" s="1858">
        <v>0</v>
      </c>
      <c r="E1078" s="1858">
        <v>0</v>
      </c>
      <c r="F1078" s="1859">
        <v>0</v>
      </c>
      <c r="G1078" s="1872" t="s">
        <v>4868</v>
      </c>
      <c r="H1078" s="1856">
        <v>0</v>
      </c>
      <c r="I1078" s="1856">
        <v>0</v>
      </c>
      <c r="J1078" s="1873">
        <v>0</v>
      </c>
      <c r="K1078" s="1860"/>
      <c r="L1078" s="1854">
        <v>13095011200</v>
      </c>
      <c r="M1078" s="1855">
        <v>0</v>
      </c>
      <c r="N1078" s="1855">
        <v>0</v>
      </c>
      <c r="O1078" s="1855">
        <v>0</v>
      </c>
    </row>
    <row r="1079" spans="3:15" ht="13.5">
      <c r="C1079" s="1861" t="s">
        <v>4869</v>
      </c>
      <c r="D1079" s="1858">
        <v>0</v>
      </c>
      <c r="E1079" s="1858">
        <v>0</v>
      </c>
      <c r="F1079" s="1859">
        <v>0</v>
      </c>
      <c r="G1079" s="1872" t="s">
        <v>4869</v>
      </c>
      <c r="H1079" s="1856">
        <v>0</v>
      </c>
      <c r="I1079" s="1856">
        <v>0</v>
      </c>
      <c r="J1079" s="1873">
        <v>0</v>
      </c>
      <c r="K1079" s="1860"/>
      <c r="L1079" s="1854">
        <v>13095011300</v>
      </c>
      <c r="M1079" s="1855">
        <v>0</v>
      </c>
      <c r="N1079" s="1855">
        <v>0</v>
      </c>
      <c r="O1079" s="1855">
        <v>0</v>
      </c>
    </row>
    <row r="1080" spans="3:15" ht="13.5">
      <c r="C1080" s="1861" t="s">
        <v>4870</v>
      </c>
      <c r="D1080" s="1858">
        <v>0</v>
      </c>
      <c r="E1080" s="1858">
        <v>0</v>
      </c>
      <c r="F1080" s="1859">
        <v>0</v>
      </c>
      <c r="G1080" s="1872" t="s">
        <v>4870</v>
      </c>
      <c r="H1080" s="1856">
        <v>0</v>
      </c>
      <c r="I1080" s="1856">
        <v>0</v>
      </c>
      <c r="J1080" s="1873">
        <v>0</v>
      </c>
      <c r="K1080" s="1860"/>
      <c r="L1080" s="1854">
        <v>13095011400</v>
      </c>
      <c r="M1080" s="1855">
        <v>0</v>
      </c>
      <c r="N1080" s="1855">
        <v>0</v>
      </c>
      <c r="O1080" s="1855">
        <v>0</v>
      </c>
    </row>
    <row r="1081" spans="3:15" ht="13.5">
      <c r="C1081" s="1861" t="s">
        <v>4871</v>
      </c>
      <c r="D1081" s="1858">
        <v>0</v>
      </c>
      <c r="E1081" s="1858">
        <v>1</v>
      </c>
      <c r="F1081" s="1859">
        <v>1</v>
      </c>
      <c r="G1081" s="1872" t="s">
        <v>4871</v>
      </c>
      <c r="H1081" s="1856">
        <v>0</v>
      </c>
      <c r="I1081" s="1856">
        <v>0</v>
      </c>
      <c r="J1081" s="1873">
        <v>0</v>
      </c>
      <c r="K1081" s="1860"/>
      <c r="L1081" s="1854">
        <v>13095011600</v>
      </c>
      <c r="M1081" s="1855">
        <v>0</v>
      </c>
      <c r="N1081" s="1855">
        <v>1</v>
      </c>
      <c r="O1081" s="1855">
        <v>1</v>
      </c>
    </row>
    <row r="1082" spans="3:15" ht="13.5">
      <c r="C1082" s="1861" t="s">
        <v>4872</v>
      </c>
      <c r="D1082" s="1858">
        <v>0</v>
      </c>
      <c r="E1082" s="1858">
        <v>1</v>
      </c>
      <c r="F1082" s="1859">
        <v>1</v>
      </c>
      <c r="G1082" s="1872" t="s">
        <v>4872</v>
      </c>
      <c r="H1082" s="1856">
        <v>1</v>
      </c>
      <c r="I1082" s="1856">
        <v>1</v>
      </c>
      <c r="J1082" s="1873">
        <v>2</v>
      </c>
      <c r="K1082" s="1860"/>
      <c r="L1082" s="1854">
        <v>13097080102</v>
      </c>
      <c r="M1082" s="1855">
        <v>1</v>
      </c>
      <c r="N1082" s="1855">
        <v>1</v>
      </c>
      <c r="O1082" s="1855">
        <v>2</v>
      </c>
    </row>
    <row r="1083" spans="3:15" ht="13.5">
      <c r="C1083" s="1861" t="s">
        <v>4873</v>
      </c>
      <c r="D1083" s="1858">
        <v>0</v>
      </c>
      <c r="E1083" s="1858">
        <v>0</v>
      </c>
      <c r="F1083" s="1859">
        <v>0</v>
      </c>
      <c r="G1083" s="1872" t="s">
        <v>4873</v>
      </c>
      <c r="H1083" s="1856">
        <v>1</v>
      </c>
      <c r="I1083" s="1856">
        <v>0</v>
      </c>
      <c r="J1083" s="1873">
        <v>1</v>
      </c>
      <c r="K1083" s="1860"/>
      <c r="L1083" s="1854">
        <v>13097080103</v>
      </c>
      <c r="M1083" s="1855">
        <v>1</v>
      </c>
      <c r="N1083" s="1855">
        <v>0</v>
      </c>
      <c r="O1083" s="1855">
        <v>1</v>
      </c>
    </row>
    <row r="1084" spans="3:15" ht="13.5">
      <c r="C1084" s="1861" t="s">
        <v>4874</v>
      </c>
      <c r="D1084" s="1858">
        <v>0</v>
      </c>
      <c r="E1084" s="1858">
        <v>1</v>
      </c>
      <c r="F1084" s="1859">
        <v>1</v>
      </c>
      <c r="G1084" s="1872" t="s">
        <v>4874</v>
      </c>
      <c r="H1084" s="1856">
        <v>0</v>
      </c>
      <c r="I1084" s="1856">
        <v>0</v>
      </c>
      <c r="J1084" s="1873">
        <v>0</v>
      </c>
      <c r="K1084" s="1860"/>
      <c r="L1084" s="1854">
        <v>13097080201</v>
      </c>
      <c r="M1084" s="1855">
        <v>0</v>
      </c>
      <c r="N1084" s="1855">
        <v>1</v>
      </c>
      <c r="O1084" s="1855">
        <v>1</v>
      </c>
    </row>
    <row r="1085" spans="3:15" ht="13.5">
      <c r="C1085" s="1861" t="s">
        <v>4875</v>
      </c>
      <c r="D1085" s="1858">
        <v>0</v>
      </c>
      <c r="E1085" s="1858">
        <v>0</v>
      </c>
      <c r="F1085" s="1859">
        <v>0</v>
      </c>
      <c r="G1085" s="1872" t="s">
        <v>4875</v>
      </c>
      <c r="H1085" s="1856">
        <v>0</v>
      </c>
      <c r="I1085" s="1856">
        <v>0</v>
      </c>
      <c r="J1085" s="1873">
        <v>0</v>
      </c>
      <c r="K1085" s="1860"/>
      <c r="L1085" s="1854">
        <v>13097080202</v>
      </c>
      <c r="M1085" s="1855">
        <v>0</v>
      </c>
      <c r="N1085" s="1855">
        <v>0</v>
      </c>
      <c r="O1085" s="1855">
        <v>0</v>
      </c>
    </row>
    <row r="1086" spans="3:15" ht="13.5">
      <c r="C1086" s="1861" t="s">
        <v>4876</v>
      </c>
      <c r="D1086" s="1858">
        <v>0</v>
      </c>
      <c r="E1086" s="1858">
        <v>0</v>
      </c>
      <c r="F1086" s="1859">
        <v>0</v>
      </c>
      <c r="G1086" s="1872" t="s">
        <v>4876</v>
      </c>
      <c r="H1086" s="1856">
        <v>0</v>
      </c>
      <c r="I1086" s="1856">
        <v>0</v>
      </c>
      <c r="J1086" s="1873">
        <v>0</v>
      </c>
      <c r="K1086" s="1860"/>
      <c r="L1086" s="1854">
        <v>13097080301</v>
      </c>
      <c r="M1086" s="1855">
        <v>0</v>
      </c>
      <c r="N1086" s="1855">
        <v>0</v>
      </c>
      <c r="O1086" s="1855">
        <v>0</v>
      </c>
    </row>
    <row r="1087" spans="3:15" ht="13.5">
      <c r="C1087" s="1861" t="s">
        <v>4877</v>
      </c>
      <c r="D1087" s="1858">
        <v>0</v>
      </c>
      <c r="E1087" s="1858">
        <v>0</v>
      </c>
      <c r="F1087" s="1859">
        <v>0</v>
      </c>
      <c r="G1087" s="1872" t="s">
        <v>4877</v>
      </c>
      <c r="H1087" s="1856">
        <v>1</v>
      </c>
      <c r="I1087" s="1856">
        <v>0</v>
      </c>
      <c r="J1087" s="1873">
        <v>1</v>
      </c>
      <c r="K1087" s="1860"/>
      <c r="L1087" s="1854">
        <v>13097080303</v>
      </c>
      <c r="M1087" s="1855">
        <v>1</v>
      </c>
      <c r="N1087" s="1855">
        <v>0</v>
      </c>
      <c r="O1087" s="1855">
        <v>1</v>
      </c>
    </row>
    <row r="1088" spans="3:15" ht="13.5">
      <c r="C1088" s="1861" t="s">
        <v>4878</v>
      </c>
      <c r="D1088" s="1858">
        <v>0</v>
      </c>
      <c r="E1088" s="1858">
        <v>0</v>
      </c>
      <c r="F1088" s="1859">
        <v>0</v>
      </c>
      <c r="G1088" s="1872" t="s">
        <v>4878</v>
      </c>
      <c r="H1088" s="1856">
        <v>0</v>
      </c>
      <c r="I1088" s="1856">
        <v>0</v>
      </c>
      <c r="J1088" s="1873">
        <v>0</v>
      </c>
      <c r="K1088" s="1860"/>
      <c r="L1088" s="1854">
        <v>13097080304</v>
      </c>
      <c r="M1088" s="1855">
        <v>0</v>
      </c>
      <c r="N1088" s="1855">
        <v>0</v>
      </c>
      <c r="O1088" s="1855">
        <v>0</v>
      </c>
    </row>
    <row r="1089" spans="3:15" ht="13.5">
      <c r="C1089" s="1861" t="s">
        <v>4879</v>
      </c>
      <c r="D1089" s="1858">
        <v>1</v>
      </c>
      <c r="E1089" s="1858">
        <v>1</v>
      </c>
      <c r="F1089" s="1859">
        <v>2</v>
      </c>
      <c r="G1089" s="1872" t="s">
        <v>4879</v>
      </c>
      <c r="H1089" s="1856">
        <v>1</v>
      </c>
      <c r="I1089" s="1856">
        <v>1</v>
      </c>
      <c r="J1089" s="1873">
        <v>2</v>
      </c>
      <c r="K1089" s="1860"/>
      <c r="L1089" s="1854">
        <v>13097080402</v>
      </c>
      <c r="M1089" s="1855">
        <v>1</v>
      </c>
      <c r="N1089" s="1855">
        <v>1</v>
      </c>
      <c r="O1089" s="1855">
        <v>2</v>
      </c>
    </row>
    <row r="1090" spans="3:15" ht="13.5">
      <c r="C1090" s="1861" t="s">
        <v>4880</v>
      </c>
      <c r="D1090" s="1858">
        <v>1</v>
      </c>
      <c r="E1090" s="1858">
        <v>1</v>
      </c>
      <c r="F1090" s="1859">
        <v>2</v>
      </c>
      <c r="G1090" s="1872" t="s">
        <v>4880</v>
      </c>
      <c r="H1090" s="1856">
        <v>1</v>
      </c>
      <c r="I1090" s="1856">
        <v>1</v>
      </c>
      <c r="J1090" s="1873">
        <v>2</v>
      </c>
      <c r="K1090" s="1860"/>
      <c r="L1090" s="1854">
        <v>13097080403</v>
      </c>
      <c r="M1090" s="1855">
        <v>1</v>
      </c>
      <c r="N1090" s="1855">
        <v>1</v>
      </c>
      <c r="O1090" s="1855">
        <v>2</v>
      </c>
    </row>
    <row r="1091" spans="3:15" ht="13.5">
      <c r="C1091" s="1861" t="s">
        <v>4881</v>
      </c>
      <c r="D1091" s="1858">
        <v>0</v>
      </c>
      <c r="E1091" s="1858">
        <v>0</v>
      </c>
      <c r="F1091" s="1859">
        <v>0</v>
      </c>
      <c r="G1091" s="1872" t="s">
        <v>4881</v>
      </c>
      <c r="H1091" s="1856">
        <v>0</v>
      </c>
      <c r="I1091" s="1856">
        <v>0</v>
      </c>
      <c r="J1091" s="1873">
        <v>0</v>
      </c>
      <c r="K1091" s="1860"/>
      <c r="L1091" s="1854">
        <v>13097080404</v>
      </c>
      <c r="M1091" s="1855">
        <v>0</v>
      </c>
      <c r="N1091" s="1855">
        <v>0</v>
      </c>
      <c r="O1091" s="1855">
        <v>0</v>
      </c>
    </row>
    <row r="1092" spans="3:15" ht="13.5">
      <c r="C1092" s="1861" t="s">
        <v>4882</v>
      </c>
      <c r="D1092" s="1858">
        <v>0</v>
      </c>
      <c r="E1092" s="1858">
        <v>1</v>
      </c>
      <c r="F1092" s="1859">
        <v>1</v>
      </c>
      <c r="G1092" s="1872" t="s">
        <v>4882</v>
      </c>
      <c r="H1092" s="1856">
        <v>0</v>
      </c>
      <c r="I1092" s="1856">
        <v>0</v>
      </c>
      <c r="J1092" s="1873">
        <v>0</v>
      </c>
      <c r="K1092" s="1860"/>
      <c r="L1092" s="1854">
        <v>13097080505</v>
      </c>
      <c r="M1092" s="1855">
        <v>0</v>
      </c>
      <c r="N1092" s="1855">
        <v>1</v>
      </c>
      <c r="O1092" s="1855">
        <v>1</v>
      </c>
    </row>
    <row r="1093" spans="3:15" ht="13.5">
      <c r="C1093" s="1861" t="s">
        <v>4883</v>
      </c>
      <c r="D1093" s="1858">
        <v>1</v>
      </c>
      <c r="E1093" s="1858">
        <v>1</v>
      </c>
      <c r="F1093" s="1859">
        <v>2</v>
      </c>
      <c r="G1093" s="1872" t="s">
        <v>4883</v>
      </c>
      <c r="H1093" s="1856">
        <v>0</v>
      </c>
      <c r="I1093" s="1856">
        <v>0</v>
      </c>
      <c r="J1093" s="1873">
        <v>0</v>
      </c>
      <c r="K1093" s="1860"/>
      <c r="L1093" s="1854">
        <v>13097080506</v>
      </c>
      <c r="M1093" s="1855">
        <v>1</v>
      </c>
      <c r="N1093" s="1855">
        <v>1</v>
      </c>
      <c r="O1093" s="1855">
        <v>2</v>
      </c>
    </row>
    <row r="1094" spans="3:15" ht="13.5">
      <c r="C1094" s="1861" t="s">
        <v>4884</v>
      </c>
      <c r="D1094" s="1858">
        <v>1</v>
      </c>
      <c r="E1094" s="1858">
        <v>1</v>
      </c>
      <c r="F1094" s="1859">
        <v>2</v>
      </c>
      <c r="G1094" s="1872" t="s">
        <v>4884</v>
      </c>
      <c r="H1094" s="1856">
        <v>1</v>
      </c>
      <c r="I1094" s="1856">
        <v>0</v>
      </c>
      <c r="J1094" s="1873">
        <v>1</v>
      </c>
      <c r="K1094" s="1860"/>
      <c r="L1094" s="1854">
        <v>13097080507</v>
      </c>
      <c r="M1094" s="1855">
        <v>1</v>
      </c>
      <c r="N1094" s="1855">
        <v>1</v>
      </c>
      <c r="O1094" s="1855">
        <v>2</v>
      </c>
    </row>
    <row r="1095" spans="3:15" ht="13.5">
      <c r="C1095" s="1861" t="s">
        <v>4885</v>
      </c>
      <c r="D1095" s="1858">
        <v>0</v>
      </c>
      <c r="E1095" s="1858">
        <v>1</v>
      </c>
      <c r="F1095" s="1859">
        <v>1</v>
      </c>
      <c r="G1095" s="1872" t="s">
        <v>4885</v>
      </c>
      <c r="H1095" s="1856">
        <v>0</v>
      </c>
      <c r="I1095" s="1856">
        <v>0</v>
      </c>
      <c r="J1095" s="1873">
        <v>0</v>
      </c>
      <c r="K1095" s="1860"/>
      <c r="L1095" s="1854">
        <v>13097080508</v>
      </c>
      <c r="M1095" s="1855">
        <v>0</v>
      </c>
      <c r="N1095" s="1855">
        <v>1</v>
      </c>
      <c r="O1095" s="1855">
        <v>1</v>
      </c>
    </row>
    <row r="1096" spans="3:15" ht="13.5">
      <c r="C1096" s="1861" t="s">
        <v>4886</v>
      </c>
      <c r="D1096" s="1858">
        <v>1</v>
      </c>
      <c r="E1096" s="1858">
        <v>1</v>
      </c>
      <c r="F1096" s="1859">
        <v>2</v>
      </c>
      <c r="G1096" s="1872" t="s">
        <v>4886</v>
      </c>
      <c r="H1096" s="1856">
        <v>1</v>
      </c>
      <c r="I1096" s="1856">
        <v>1</v>
      </c>
      <c r="J1096" s="1873">
        <v>2</v>
      </c>
      <c r="K1096" s="1860"/>
      <c r="L1096" s="1854">
        <v>13097080509</v>
      </c>
      <c r="M1096" s="1855">
        <v>1</v>
      </c>
      <c r="N1096" s="1855">
        <v>1</v>
      </c>
      <c r="O1096" s="1855">
        <v>2</v>
      </c>
    </row>
    <row r="1097" spans="3:15" ht="13.5">
      <c r="C1097" s="1861" t="s">
        <v>4887</v>
      </c>
      <c r="D1097" s="1858">
        <v>1</v>
      </c>
      <c r="E1097" s="1858">
        <v>1</v>
      </c>
      <c r="F1097" s="1859">
        <v>2</v>
      </c>
      <c r="G1097" s="1872" t="s">
        <v>4887</v>
      </c>
      <c r="H1097" s="1856">
        <v>0</v>
      </c>
      <c r="I1097" s="1856">
        <v>1</v>
      </c>
      <c r="J1097" s="1873">
        <v>1</v>
      </c>
      <c r="K1097" s="1860"/>
      <c r="L1097" s="1854">
        <v>13097080510</v>
      </c>
      <c r="M1097" s="1855">
        <v>1</v>
      </c>
      <c r="N1097" s="1855">
        <v>1</v>
      </c>
      <c r="O1097" s="1855">
        <v>2</v>
      </c>
    </row>
    <row r="1098" spans="3:15" ht="13.5">
      <c r="C1098" s="1861" t="s">
        <v>4888</v>
      </c>
      <c r="D1098" s="1858">
        <v>1</v>
      </c>
      <c r="E1098" s="1858">
        <v>1</v>
      </c>
      <c r="F1098" s="1859">
        <v>2</v>
      </c>
      <c r="G1098" s="1872" t="s">
        <v>4888</v>
      </c>
      <c r="H1098" s="1856">
        <v>1</v>
      </c>
      <c r="I1098" s="1856">
        <v>1</v>
      </c>
      <c r="J1098" s="1873">
        <v>2</v>
      </c>
      <c r="K1098" s="1860"/>
      <c r="L1098" s="1854">
        <v>13097080511</v>
      </c>
      <c r="M1098" s="1855">
        <v>1</v>
      </c>
      <c r="N1098" s="1855">
        <v>1</v>
      </c>
      <c r="O1098" s="1855">
        <v>2</v>
      </c>
    </row>
    <row r="1099" spans="3:15" ht="13.5">
      <c r="C1099" s="1861" t="s">
        <v>4889</v>
      </c>
      <c r="D1099" s="1858">
        <v>1</v>
      </c>
      <c r="E1099" s="1858">
        <v>1</v>
      </c>
      <c r="F1099" s="1859">
        <v>2</v>
      </c>
      <c r="G1099" s="1872" t="s">
        <v>4889</v>
      </c>
      <c r="H1099" s="1856">
        <v>1</v>
      </c>
      <c r="I1099" s="1856">
        <v>1</v>
      </c>
      <c r="J1099" s="1873">
        <v>1</v>
      </c>
      <c r="K1099" s="1860"/>
      <c r="L1099" s="1854">
        <v>13097080602</v>
      </c>
      <c r="M1099" s="1855">
        <v>1</v>
      </c>
      <c r="N1099" s="1855">
        <v>1</v>
      </c>
      <c r="O1099" s="1855">
        <v>2</v>
      </c>
    </row>
    <row r="1100" spans="3:15" ht="13.5">
      <c r="C1100" s="1861" t="s">
        <v>4890</v>
      </c>
      <c r="D1100" s="1858">
        <v>1</v>
      </c>
      <c r="E1100" s="1858">
        <v>1</v>
      </c>
      <c r="F1100" s="1859">
        <v>2</v>
      </c>
      <c r="G1100" s="1872" t="s">
        <v>4890</v>
      </c>
      <c r="H1100" s="1856">
        <v>1</v>
      </c>
      <c r="I1100" s="1856">
        <v>0</v>
      </c>
      <c r="J1100" s="1873">
        <v>1</v>
      </c>
      <c r="K1100" s="1860"/>
      <c r="L1100" s="1854">
        <v>13097080603</v>
      </c>
      <c r="M1100" s="1855">
        <v>1</v>
      </c>
      <c r="N1100" s="1855">
        <v>1</v>
      </c>
      <c r="O1100" s="1855">
        <v>2</v>
      </c>
    </row>
    <row r="1101" spans="3:15" ht="13.5">
      <c r="C1101" s="1861" t="s">
        <v>4891</v>
      </c>
      <c r="D1101" s="1858">
        <v>1</v>
      </c>
      <c r="E1101" s="1858">
        <v>1</v>
      </c>
      <c r="F1101" s="1859">
        <v>2</v>
      </c>
      <c r="G1101" s="1872" t="s">
        <v>4891</v>
      </c>
      <c r="H1101" s="1856">
        <v>1</v>
      </c>
      <c r="I1101" s="1856">
        <v>0</v>
      </c>
      <c r="J1101" s="1873">
        <v>1</v>
      </c>
      <c r="K1101" s="1860"/>
      <c r="L1101" s="1854">
        <v>13097080604</v>
      </c>
      <c r="M1101" s="1855">
        <v>1</v>
      </c>
      <c r="N1101" s="1855">
        <v>1</v>
      </c>
      <c r="O1101" s="1855">
        <v>2</v>
      </c>
    </row>
    <row r="1102" spans="3:15" ht="13.5">
      <c r="C1102" s="1861" t="s">
        <v>4892</v>
      </c>
      <c r="D1102" s="1858">
        <v>0</v>
      </c>
      <c r="E1102" s="1858">
        <v>0</v>
      </c>
      <c r="F1102" s="1859">
        <v>0</v>
      </c>
      <c r="G1102" s="1872" t="s">
        <v>4892</v>
      </c>
      <c r="H1102" s="1856">
        <v>0</v>
      </c>
      <c r="I1102" s="1856">
        <v>0</v>
      </c>
      <c r="J1102" s="1873">
        <v>0</v>
      </c>
      <c r="K1102" s="1860"/>
      <c r="L1102" s="1854">
        <v>13099090100</v>
      </c>
      <c r="M1102" s="1855">
        <v>0</v>
      </c>
      <c r="N1102" s="1855">
        <v>0</v>
      </c>
      <c r="O1102" s="1855">
        <v>0</v>
      </c>
    </row>
    <row r="1103" spans="3:15" ht="13.5">
      <c r="C1103" s="1861" t="s">
        <v>4893</v>
      </c>
      <c r="D1103" s="1858">
        <v>0</v>
      </c>
      <c r="E1103" s="1858">
        <v>0</v>
      </c>
      <c r="F1103" s="1859">
        <v>0</v>
      </c>
      <c r="G1103" s="1872" t="s">
        <v>4893</v>
      </c>
      <c r="H1103" s="1856">
        <v>0</v>
      </c>
      <c r="I1103" s="1856">
        <v>0</v>
      </c>
      <c r="J1103" s="1873">
        <v>0</v>
      </c>
      <c r="K1103" s="1860"/>
      <c r="L1103" s="1854">
        <v>13099090200</v>
      </c>
      <c r="M1103" s="1855">
        <v>0</v>
      </c>
      <c r="N1103" s="1855">
        <v>0</v>
      </c>
      <c r="O1103" s="1855">
        <v>0</v>
      </c>
    </row>
    <row r="1104" spans="3:15" ht="13.5">
      <c r="C1104" s="1861" t="s">
        <v>4894</v>
      </c>
      <c r="D1104" s="1858">
        <v>1</v>
      </c>
      <c r="E1104" s="1858">
        <v>0</v>
      </c>
      <c r="F1104" s="1859">
        <v>1</v>
      </c>
      <c r="G1104" s="1872" t="s">
        <v>4894</v>
      </c>
      <c r="H1104" s="1856">
        <v>0</v>
      </c>
      <c r="I1104" s="1856">
        <v>0</v>
      </c>
      <c r="J1104" s="1873">
        <v>0</v>
      </c>
      <c r="K1104" s="1860"/>
      <c r="L1104" s="1854">
        <v>13099090300</v>
      </c>
      <c r="M1104" s="1855">
        <v>1</v>
      </c>
      <c r="N1104" s="1855">
        <v>0</v>
      </c>
      <c r="O1104" s="1855">
        <v>1</v>
      </c>
    </row>
    <row r="1105" spans="3:15" ht="13.5">
      <c r="C1105" s="1861" t="s">
        <v>4895</v>
      </c>
      <c r="D1105" s="1858">
        <v>0</v>
      </c>
      <c r="E1105" s="1858">
        <v>0</v>
      </c>
      <c r="F1105" s="1859">
        <v>0</v>
      </c>
      <c r="G1105" s="1872" t="s">
        <v>4895</v>
      </c>
      <c r="H1105" s="1856">
        <v>0</v>
      </c>
      <c r="I1105" s="1856">
        <v>0</v>
      </c>
      <c r="J1105" s="1873">
        <v>0</v>
      </c>
      <c r="K1105" s="1860"/>
      <c r="L1105" s="1854">
        <v>13099090400</v>
      </c>
      <c r="M1105" s="1855">
        <v>0</v>
      </c>
      <c r="N1105" s="1855">
        <v>0</v>
      </c>
      <c r="O1105" s="1855">
        <v>0</v>
      </c>
    </row>
    <row r="1106" spans="3:15" ht="13.5">
      <c r="C1106" s="1861" t="s">
        <v>4896</v>
      </c>
      <c r="D1106" s="1858">
        <v>0</v>
      </c>
      <c r="E1106" s="1858">
        <v>0</v>
      </c>
      <c r="F1106" s="1859">
        <v>0</v>
      </c>
      <c r="G1106" s="1872" t="s">
        <v>4896</v>
      </c>
      <c r="H1106" s="1856">
        <v>0</v>
      </c>
      <c r="I1106" s="1856">
        <v>0</v>
      </c>
      <c r="J1106" s="1873">
        <v>0</v>
      </c>
      <c r="K1106" s="1860"/>
      <c r="L1106" s="1854">
        <v>13099090500</v>
      </c>
      <c r="M1106" s="1855">
        <v>0</v>
      </c>
      <c r="N1106" s="1855">
        <v>0</v>
      </c>
      <c r="O1106" s="1855">
        <v>0</v>
      </c>
    </row>
    <row r="1107" spans="3:15" ht="13.5">
      <c r="C1107" s="1861" t="s">
        <v>4897</v>
      </c>
      <c r="D1107" s="1858">
        <v>0</v>
      </c>
      <c r="E1107" s="1858">
        <v>0</v>
      </c>
      <c r="F1107" s="1859">
        <v>0</v>
      </c>
      <c r="G1107" s="1872" t="s">
        <v>4897</v>
      </c>
      <c r="H1107" s="1856">
        <v>0</v>
      </c>
      <c r="I1107" s="1856">
        <v>0</v>
      </c>
      <c r="J1107" s="1873">
        <v>0</v>
      </c>
      <c r="K1107" s="1860"/>
      <c r="L1107" s="1854">
        <v>13101880100</v>
      </c>
      <c r="M1107" s="1855">
        <v>0</v>
      </c>
      <c r="N1107" s="1855">
        <v>0</v>
      </c>
      <c r="O1107" s="1855">
        <v>0</v>
      </c>
    </row>
    <row r="1108" spans="3:15" ht="13.5">
      <c r="C1108" s="1861" t="s">
        <v>4898</v>
      </c>
      <c r="D1108" s="1858">
        <v>0</v>
      </c>
      <c r="E1108" s="1858">
        <v>0</v>
      </c>
      <c r="F1108" s="1859">
        <v>0</v>
      </c>
      <c r="G1108" s="1872" t="s">
        <v>4898</v>
      </c>
      <c r="H1108" s="1856">
        <v>0</v>
      </c>
      <c r="I1108" s="1856">
        <v>0</v>
      </c>
      <c r="J1108" s="1873">
        <v>0</v>
      </c>
      <c r="K1108" s="1860"/>
      <c r="L1108" s="1854">
        <v>13101880200</v>
      </c>
      <c r="M1108" s="1855">
        <v>0</v>
      </c>
      <c r="N1108" s="1855">
        <v>0</v>
      </c>
      <c r="O1108" s="1855">
        <v>0</v>
      </c>
    </row>
    <row r="1109" spans="3:15" ht="13.5">
      <c r="C1109" s="1861" t="s">
        <v>4899</v>
      </c>
      <c r="D1109" s="1858">
        <v>1</v>
      </c>
      <c r="E1109" s="1858">
        <v>1</v>
      </c>
      <c r="F1109" s="1859">
        <v>2</v>
      </c>
      <c r="G1109" s="1872" t="s">
        <v>4899</v>
      </c>
      <c r="H1109" s="1856">
        <v>0</v>
      </c>
      <c r="I1109" s="1856">
        <v>0</v>
      </c>
      <c r="J1109" s="1873">
        <v>0</v>
      </c>
      <c r="K1109" s="1860"/>
      <c r="L1109" s="1854">
        <v>13103030100</v>
      </c>
      <c r="M1109" s="1855">
        <v>1</v>
      </c>
      <c r="N1109" s="1855">
        <v>1</v>
      </c>
      <c r="O1109" s="1855">
        <v>2</v>
      </c>
    </row>
    <row r="1110" spans="3:15" ht="13.5">
      <c r="C1110" s="1861" t="s">
        <v>4900</v>
      </c>
      <c r="D1110" s="1858">
        <v>1</v>
      </c>
      <c r="E1110" s="1858">
        <v>1</v>
      </c>
      <c r="F1110" s="1859">
        <v>2</v>
      </c>
      <c r="G1110" s="1872" t="s">
        <v>4900</v>
      </c>
      <c r="H1110" s="1856">
        <v>1</v>
      </c>
      <c r="I1110" s="1856">
        <v>0</v>
      </c>
      <c r="J1110" s="1873">
        <v>1</v>
      </c>
      <c r="K1110" s="1860"/>
      <c r="L1110" s="1854">
        <v>13103030202</v>
      </c>
      <c r="M1110" s="1855">
        <v>1</v>
      </c>
      <c r="N1110" s="1855">
        <v>1</v>
      </c>
      <c r="O1110" s="1855">
        <v>2</v>
      </c>
    </row>
    <row r="1111" spans="3:15" ht="13.5">
      <c r="C1111" s="1861" t="s">
        <v>4901</v>
      </c>
      <c r="D1111" s="1858">
        <v>1</v>
      </c>
      <c r="E1111" s="1858">
        <v>1</v>
      </c>
      <c r="F1111" s="1859">
        <v>2</v>
      </c>
      <c r="G1111" s="1872" t="s">
        <v>4901</v>
      </c>
      <c r="H1111" s="1856">
        <v>1</v>
      </c>
      <c r="I1111" s="1856">
        <v>0</v>
      </c>
      <c r="J1111" s="1873">
        <v>1</v>
      </c>
      <c r="K1111" s="1860"/>
      <c r="L1111" s="1854">
        <v>13103030203</v>
      </c>
      <c r="M1111" s="1855">
        <v>1</v>
      </c>
      <c r="N1111" s="1855">
        <v>1</v>
      </c>
      <c r="O1111" s="1855">
        <v>2</v>
      </c>
    </row>
    <row r="1112" spans="3:15" ht="13.5">
      <c r="C1112" s="1861" t="s">
        <v>4902</v>
      </c>
      <c r="D1112" s="1858">
        <v>0</v>
      </c>
      <c r="E1112" s="1858">
        <v>0</v>
      </c>
      <c r="F1112" s="1859">
        <v>0</v>
      </c>
      <c r="G1112" s="1872" t="s">
        <v>4902</v>
      </c>
      <c r="H1112" s="1856">
        <v>0</v>
      </c>
      <c r="I1112" s="1856">
        <v>1</v>
      </c>
      <c r="J1112" s="1873">
        <v>1</v>
      </c>
      <c r="K1112" s="1860"/>
      <c r="L1112" s="1854">
        <v>13103030204</v>
      </c>
      <c r="M1112" s="1855">
        <v>0</v>
      </c>
      <c r="N1112" s="1855">
        <v>1</v>
      </c>
      <c r="O1112" s="1855">
        <v>1</v>
      </c>
    </row>
    <row r="1113" spans="3:15" ht="13.5">
      <c r="C1113" s="1861" t="s">
        <v>4903</v>
      </c>
      <c r="D1113" s="1858">
        <v>1</v>
      </c>
      <c r="E1113" s="1858">
        <v>1</v>
      </c>
      <c r="F1113" s="1859">
        <v>2</v>
      </c>
      <c r="G1113" s="1872" t="s">
        <v>4903</v>
      </c>
      <c r="H1113" s="1856">
        <v>1</v>
      </c>
      <c r="I1113" s="1856">
        <v>1</v>
      </c>
      <c r="J1113" s="1873">
        <v>2</v>
      </c>
      <c r="K1113" s="1860"/>
      <c r="L1113" s="1854">
        <v>13103030301</v>
      </c>
      <c r="M1113" s="1855">
        <v>1</v>
      </c>
      <c r="N1113" s="1855">
        <v>1</v>
      </c>
      <c r="O1113" s="1855">
        <v>2</v>
      </c>
    </row>
    <row r="1114" spans="3:15" ht="13.5">
      <c r="C1114" s="1861" t="s">
        <v>4904</v>
      </c>
      <c r="D1114" s="1858">
        <v>0</v>
      </c>
      <c r="E1114" s="1858">
        <v>1</v>
      </c>
      <c r="F1114" s="1859">
        <v>1</v>
      </c>
      <c r="G1114" s="1872" t="s">
        <v>4904</v>
      </c>
      <c r="H1114" s="1856">
        <v>1</v>
      </c>
      <c r="I1114" s="1856">
        <v>0</v>
      </c>
      <c r="J1114" s="1873">
        <v>1</v>
      </c>
      <c r="K1114" s="1860"/>
      <c r="L1114" s="1854">
        <v>13103030303</v>
      </c>
      <c r="M1114" s="1855">
        <v>1</v>
      </c>
      <c r="N1114" s="1855">
        <v>1</v>
      </c>
      <c r="O1114" s="1855">
        <v>1</v>
      </c>
    </row>
    <row r="1115" spans="3:15" ht="13.5">
      <c r="C1115" s="1861" t="s">
        <v>4905</v>
      </c>
      <c r="D1115" s="1858">
        <v>1</v>
      </c>
      <c r="E1115" s="1858">
        <v>1</v>
      </c>
      <c r="F1115" s="1859">
        <v>2</v>
      </c>
      <c r="G1115" s="1872" t="s">
        <v>4905</v>
      </c>
      <c r="H1115" s="1856">
        <v>1</v>
      </c>
      <c r="I1115" s="1856">
        <v>0</v>
      </c>
      <c r="J1115" s="1873">
        <v>1</v>
      </c>
      <c r="K1115" s="1860"/>
      <c r="L1115" s="1854">
        <v>13103030304</v>
      </c>
      <c r="M1115" s="1855">
        <v>1</v>
      </c>
      <c r="N1115" s="1855">
        <v>1</v>
      </c>
      <c r="O1115" s="1855">
        <v>2</v>
      </c>
    </row>
    <row r="1116" spans="3:15" ht="13.5">
      <c r="C1116" s="1861" t="s">
        <v>4906</v>
      </c>
      <c r="D1116" s="1858">
        <v>1</v>
      </c>
      <c r="E1116" s="1858">
        <v>1</v>
      </c>
      <c r="F1116" s="1859">
        <v>2</v>
      </c>
      <c r="G1116" s="1872" t="s">
        <v>4906</v>
      </c>
      <c r="H1116" s="1856">
        <v>1</v>
      </c>
      <c r="I1116" s="1856">
        <v>1</v>
      </c>
      <c r="J1116" s="1873">
        <v>2</v>
      </c>
      <c r="K1116" s="1860"/>
      <c r="L1116" s="1854">
        <v>13103030305</v>
      </c>
      <c r="M1116" s="1855">
        <v>1</v>
      </c>
      <c r="N1116" s="1855">
        <v>1</v>
      </c>
      <c r="O1116" s="1855">
        <v>2</v>
      </c>
    </row>
    <row r="1117" spans="3:15" ht="13.5">
      <c r="C1117" s="1861" t="s">
        <v>4907</v>
      </c>
      <c r="D1117" s="1858">
        <v>1</v>
      </c>
      <c r="E1117" s="1858">
        <v>1</v>
      </c>
      <c r="F1117" s="1859">
        <v>2</v>
      </c>
      <c r="G1117" s="1872" t="s">
        <v>4907</v>
      </c>
      <c r="H1117" s="1856">
        <v>1</v>
      </c>
      <c r="I1117" s="1856">
        <v>1</v>
      </c>
      <c r="J1117" s="1873">
        <v>2</v>
      </c>
      <c r="K1117" s="1860"/>
      <c r="L1117" s="1854">
        <v>13103030401</v>
      </c>
      <c r="M1117" s="1855">
        <v>1</v>
      </c>
      <c r="N1117" s="1855">
        <v>1</v>
      </c>
      <c r="O1117" s="1855">
        <v>2</v>
      </c>
    </row>
    <row r="1118" spans="3:15" ht="13.5">
      <c r="C1118" s="1861" t="s">
        <v>4908</v>
      </c>
      <c r="D1118" s="1858">
        <v>1</v>
      </c>
      <c r="E1118" s="1858">
        <v>1</v>
      </c>
      <c r="F1118" s="1859">
        <v>2</v>
      </c>
      <c r="G1118" s="1872" t="s">
        <v>4908</v>
      </c>
      <c r="H1118" s="1856">
        <v>1</v>
      </c>
      <c r="I1118" s="1856">
        <v>1</v>
      </c>
      <c r="J1118" s="1873">
        <v>2</v>
      </c>
      <c r="K1118" s="1860"/>
      <c r="L1118" s="1854">
        <v>13103030402</v>
      </c>
      <c r="M1118" s="1855">
        <v>1</v>
      </c>
      <c r="N1118" s="1855">
        <v>1</v>
      </c>
      <c r="O1118" s="1855">
        <v>2</v>
      </c>
    </row>
    <row r="1119" spans="3:15" ht="13.5">
      <c r="C1119" s="1861" t="s">
        <v>4909</v>
      </c>
      <c r="D1119" s="1858">
        <v>0</v>
      </c>
      <c r="E1119" s="1858">
        <v>0</v>
      </c>
      <c r="F1119" s="1859">
        <v>0</v>
      </c>
      <c r="G1119" s="1872" t="s">
        <v>4909</v>
      </c>
      <c r="H1119" s="1856">
        <v>0</v>
      </c>
      <c r="I1119" s="1856">
        <v>0</v>
      </c>
      <c r="J1119" s="1873">
        <v>0</v>
      </c>
      <c r="K1119" s="1860"/>
      <c r="L1119" s="1854">
        <v>13105000100</v>
      </c>
      <c r="M1119" s="1855">
        <v>0</v>
      </c>
      <c r="N1119" s="1855">
        <v>0</v>
      </c>
      <c r="O1119" s="1855">
        <v>0</v>
      </c>
    </row>
    <row r="1120" spans="3:15" ht="13.5">
      <c r="C1120" s="1861" t="s">
        <v>4910</v>
      </c>
      <c r="D1120" s="1858">
        <v>0</v>
      </c>
      <c r="E1120" s="1858">
        <v>0</v>
      </c>
      <c r="F1120" s="1859">
        <v>0</v>
      </c>
      <c r="G1120" s="1872" t="s">
        <v>4910</v>
      </c>
      <c r="H1120" s="1856">
        <v>0</v>
      </c>
      <c r="I1120" s="1856">
        <v>0</v>
      </c>
      <c r="J1120" s="1873">
        <v>0</v>
      </c>
      <c r="K1120" s="1860"/>
      <c r="L1120" s="1854">
        <v>13105000200</v>
      </c>
      <c r="M1120" s="1855">
        <v>0</v>
      </c>
      <c r="N1120" s="1855">
        <v>0</v>
      </c>
      <c r="O1120" s="1855">
        <v>0</v>
      </c>
    </row>
    <row r="1121" spans="3:15" ht="13.5">
      <c r="C1121" s="1861" t="s">
        <v>4911</v>
      </c>
      <c r="D1121" s="1858">
        <v>0</v>
      </c>
      <c r="E1121" s="1858">
        <v>0</v>
      </c>
      <c r="F1121" s="1859">
        <v>0</v>
      </c>
      <c r="G1121" s="1872" t="s">
        <v>4911</v>
      </c>
      <c r="H1121" s="1856">
        <v>0</v>
      </c>
      <c r="I1121" s="1856">
        <v>0</v>
      </c>
      <c r="J1121" s="1873">
        <v>0</v>
      </c>
      <c r="K1121" s="1860"/>
      <c r="L1121" s="1854">
        <v>13105000300</v>
      </c>
      <c r="M1121" s="1855">
        <v>0</v>
      </c>
      <c r="N1121" s="1855">
        <v>0</v>
      </c>
      <c r="O1121" s="1855">
        <v>0</v>
      </c>
    </row>
    <row r="1122" spans="3:15" ht="13.5">
      <c r="C1122" s="1861" t="s">
        <v>4912</v>
      </c>
      <c r="D1122" s="1858">
        <v>0</v>
      </c>
      <c r="E1122" s="1858">
        <v>0</v>
      </c>
      <c r="F1122" s="1859">
        <v>0</v>
      </c>
      <c r="G1122" s="1872" t="s">
        <v>4912</v>
      </c>
      <c r="H1122" s="1856">
        <v>0</v>
      </c>
      <c r="I1122" s="1856">
        <v>0</v>
      </c>
      <c r="J1122" s="1873">
        <v>0</v>
      </c>
      <c r="K1122" s="1860"/>
      <c r="L1122" s="1854">
        <v>13105000400</v>
      </c>
      <c r="M1122" s="1855">
        <v>0</v>
      </c>
      <c r="N1122" s="1855">
        <v>0</v>
      </c>
      <c r="O1122" s="1855">
        <v>0</v>
      </c>
    </row>
    <row r="1123" spans="3:15" ht="13.5">
      <c r="C1123" s="1861" t="s">
        <v>4913</v>
      </c>
      <c r="D1123" s="1858">
        <v>0</v>
      </c>
      <c r="E1123" s="1858">
        <v>0</v>
      </c>
      <c r="F1123" s="1859">
        <v>0</v>
      </c>
      <c r="G1123" s="1872" t="s">
        <v>4913</v>
      </c>
      <c r="H1123" s="1856">
        <v>0</v>
      </c>
      <c r="I1123" s="1856">
        <v>1</v>
      </c>
      <c r="J1123" s="1873">
        <v>1</v>
      </c>
      <c r="K1123" s="1860"/>
      <c r="L1123" s="1854">
        <v>13105000500</v>
      </c>
      <c r="M1123" s="1855">
        <v>0</v>
      </c>
      <c r="N1123" s="1855">
        <v>1</v>
      </c>
      <c r="O1123" s="1855">
        <v>1</v>
      </c>
    </row>
    <row r="1124" spans="3:15" ht="13.5">
      <c r="C1124" s="1861" t="s">
        <v>4914</v>
      </c>
      <c r="D1124" s="1858">
        <v>0</v>
      </c>
      <c r="E1124" s="1858">
        <v>0</v>
      </c>
      <c r="F1124" s="1859">
        <v>0</v>
      </c>
      <c r="G1124" s="1872" t="s">
        <v>4914</v>
      </c>
      <c r="H1124" s="1856">
        <v>0</v>
      </c>
      <c r="I1124" s="1856">
        <v>0</v>
      </c>
      <c r="J1124" s="1873">
        <v>0</v>
      </c>
      <c r="K1124" s="1860"/>
      <c r="L1124" s="1854">
        <v>13107970100</v>
      </c>
      <c r="M1124" s="1855">
        <v>0</v>
      </c>
      <c r="N1124" s="1855">
        <v>0</v>
      </c>
      <c r="O1124" s="1855">
        <v>0</v>
      </c>
    </row>
    <row r="1125" spans="3:15" ht="13.5">
      <c r="C1125" s="1861" t="s">
        <v>4915</v>
      </c>
      <c r="D1125" s="1858">
        <v>0</v>
      </c>
      <c r="E1125" s="1858">
        <v>0</v>
      </c>
      <c r="F1125" s="1859">
        <v>0</v>
      </c>
      <c r="G1125" s="1872" t="s">
        <v>4915</v>
      </c>
      <c r="H1125" s="1856">
        <v>0</v>
      </c>
      <c r="I1125" s="1856">
        <v>0</v>
      </c>
      <c r="J1125" s="1873">
        <v>0</v>
      </c>
      <c r="K1125" s="1860"/>
      <c r="L1125" s="1854">
        <v>13107970200</v>
      </c>
      <c r="M1125" s="1855">
        <v>0</v>
      </c>
      <c r="N1125" s="1855">
        <v>0</v>
      </c>
      <c r="O1125" s="1855">
        <v>0</v>
      </c>
    </row>
    <row r="1126" spans="3:15" ht="13.5">
      <c r="C1126" s="1861" t="s">
        <v>4916</v>
      </c>
      <c r="D1126" s="1858">
        <v>0</v>
      </c>
      <c r="E1126" s="1858">
        <v>0</v>
      </c>
      <c r="F1126" s="1859">
        <v>0</v>
      </c>
      <c r="G1126" s="1872" t="s">
        <v>4916</v>
      </c>
      <c r="H1126" s="1856">
        <v>0</v>
      </c>
      <c r="I1126" s="1856">
        <v>0</v>
      </c>
      <c r="J1126" s="1873">
        <v>0</v>
      </c>
      <c r="K1126" s="1860"/>
      <c r="L1126" s="1854">
        <v>13107970300</v>
      </c>
      <c r="M1126" s="1855">
        <v>0</v>
      </c>
      <c r="N1126" s="1855">
        <v>0</v>
      </c>
      <c r="O1126" s="1855">
        <v>0</v>
      </c>
    </row>
    <row r="1127" spans="3:15" ht="13.5">
      <c r="C1127" s="1861" t="s">
        <v>4917</v>
      </c>
      <c r="D1127" s="1858">
        <v>0</v>
      </c>
      <c r="E1127" s="1858">
        <v>0</v>
      </c>
      <c r="F1127" s="1859">
        <v>0</v>
      </c>
      <c r="G1127" s="1872" t="s">
        <v>4917</v>
      </c>
      <c r="H1127" s="1856">
        <v>0</v>
      </c>
      <c r="I1127" s="1856">
        <v>0</v>
      </c>
      <c r="J1127" s="1873">
        <v>0</v>
      </c>
      <c r="K1127" s="1860"/>
      <c r="L1127" s="1854">
        <v>13107970400</v>
      </c>
      <c r="M1127" s="1855">
        <v>0</v>
      </c>
      <c r="N1127" s="1855">
        <v>0</v>
      </c>
      <c r="O1127" s="1855">
        <v>0</v>
      </c>
    </row>
    <row r="1128" spans="3:15" ht="13.5">
      <c r="C1128" s="1861" t="s">
        <v>4918</v>
      </c>
      <c r="D1128" s="1858">
        <v>0</v>
      </c>
      <c r="E1128" s="1858">
        <v>0</v>
      </c>
      <c r="F1128" s="1859">
        <v>0</v>
      </c>
      <c r="G1128" s="1872" t="s">
        <v>4918</v>
      </c>
      <c r="H1128" s="1856">
        <v>0</v>
      </c>
      <c r="I1128" s="1856">
        <v>0</v>
      </c>
      <c r="J1128" s="1873">
        <v>0</v>
      </c>
      <c r="K1128" s="1860"/>
      <c r="L1128" s="1854">
        <v>13107970500</v>
      </c>
      <c r="M1128" s="1855">
        <v>0</v>
      </c>
      <c r="N1128" s="1855">
        <v>0</v>
      </c>
      <c r="O1128" s="1855">
        <v>0</v>
      </c>
    </row>
    <row r="1129" spans="3:15" ht="13.5">
      <c r="C1129" s="1861" t="s">
        <v>4919</v>
      </c>
      <c r="D1129" s="1858">
        <v>0</v>
      </c>
      <c r="E1129" s="1858">
        <v>0</v>
      </c>
      <c r="F1129" s="1859">
        <v>0</v>
      </c>
      <c r="G1129" s="1872" t="s">
        <v>4919</v>
      </c>
      <c r="H1129" s="1856">
        <v>0</v>
      </c>
      <c r="I1129" s="1856">
        <v>0</v>
      </c>
      <c r="J1129" s="1873">
        <v>0</v>
      </c>
      <c r="K1129" s="1860"/>
      <c r="L1129" s="1854">
        <v>13107970600</v>
      </c>
      <c r="M1129" s="1855">
        <v>0</v>
      </c>
      <c r="N1129" s="1855">
        <v>0</v>
      </c>
      <c r="O1129" s="1855">
        <v>0</v>
      </c>
    </row>
    <row r="1130" spans="3:15" ht="13.5">
      <c r="C1130" s="1861" t="s">
        <v>4920</v>
      </c>
      <c r="D1130" s="1858">
        <v>0</v>
      </c>
      <c r="E1130" s="1858">
        <v>0</v>
      </c>
      <c r="F1130" s="1859">
        <v>0</v>
      </c>
      <c r="G1130" s="1872" t="s">
        <v>4920</v>
      </c>
      <c r="H1130" s="1856">
        <v>0</v>
      </c>
      <c r="I1130" s="1856">
        <v>0</v>
      </c>
      <c r="J1130" s="1873">
        <v>0</v>
      </c>
      <c r="K1130" s="1860"/>
      <c r="L1130" s="1854">
        <v>13109970100</v>
      </c>
      <c r="M1130" s="1855">
        <v>0</v>
      </c>
      <c r="N1130" s="1855">
        <v>0</v>
      </c>
      <c r="O1130" s="1855">
        <v>0</v>
      </c>
    </row>
    <row r="1131" spans="3:15" ht="13.5">
      <c r="C1131" s="1861" t="s">
        <v>4921</v>
      </c>
      <c r="D1131" s="1858">
        <v>0</v>
      </c>
      <c r="E1131" s="1858">
        <v>0</v>
      </c>
      <c r="F1131" s="1859">
        <v>0</v>
      </c>
      <c r="G1131" s="1872" t="s">
        <v>4921</v>
      </c>
      <c r="H1131" s="1856">
        <v>0</v>
      </c>
      <c r="I1131" s="1856">
        <v>0</v>
      </c>
      <c r="J1131" s="1873">
        <v>0</v>
      </c>
      <c r="K1131" s="1860"/>
      <c r="L1131" s="1854">
        <v>13109970200</v>
      </c>
      <c r="M1131" s="1855">
        <v>0</v>
      </c>
      <c r="N1131" s="1855">
        <v>0</v>
      </c>
      <c r="O1131" s="1855">
        <v>0</v>
      </c>
    </row>
    <row r="1132" spans="3:15" ht="13.5">
      <c r="C1132" s="1861" t="s">
        <v>4922</v>
      </c>
      <c r="D1132" s="1858">
        <v>0</v>
      </c>
      <c r="E1132" s="1858">
        <v>0</v>
      </c>
      <c r="F1132" s="1859">
        <v>0</v>
      </c>
      <c r="G1132" s="1872" t="s">
        <v>4922</v>
      </c>
      <c r="H1132" s="1856">
        <v>0</v>
      </c>
      <c r="I1132" s="1856">
        <v>0</v>
      </c>
      <c r="J1132" s="1873">
        <v>0</v>
      </c>
      <c r="K1132" s="1860"/>
      <c r="L1132" s="1854">
        <v>13109970300</v>
      </c>
      <c r="M1132" s="1855">
        <v>0</v>
      </c>
      <c r="N1132" s="1855">
        <v>0</v>
      </c>
      <c r="O1132" s="1855">
        <v>0</v>
      </c>
    </row>
    <row r="1133" spans="3:15" ht="13.5">
      <c r="C1133" s="1861" t="s">
        <v>4923</v>
      </c>
      <c r="D1133" s="1858">
        <v>0</v>
      </c>
      <c r="E1133" s="1858">
        <v>0</v>
      </c>
      <c r="F1133" s="1859">
        <v>0</v>
      </c>
      <c r="G1133" s="1872" t="s">
        <v>4923</v>
      </c>
      <c r="H1133" s="1856">
        <v>0</v>
      </c>
      <c r="I1133" s="1856">
        <v>0</v>
      </c>
      <c r="J1133" s="1873">
        <v>0</v>
      </c>
      <c r="K1133" s="1860"/>
      <c r="L1133" s="1854">
        <v>13111050100</v>
      </c>
      <c r="M1133" s="1855">
        <v>0</v>
      </c>
      <c r="N1133" s="1855">
        <v>0</v>
      </c>
      <c r="O1133" s="1855">
        <v>0</v>
      </c>
    </row>
    <row r="1134" spans="3:15" ht="13.5">
      <c r="C1134" s="1861" t="s">
        <v>4924</v>
      </c>
      <c r="D1134" s="1858">
        <v>0</v>
      </c>
      <c r="E1134" s="1858">
        <v>0</v>
      </c>
      <c r="F1134" s="1859">
        <v>0</v>
      </c>
      <c r="G1134" s="1872" t="s">
        <v>4924</v>
      </c>
      <c r="H1134" s="1856">
        <v>0</v>
      </c>
      <c r="I1134" s="1856">
        <v>0</v>
      </c>
      <c r="J1134" s="1873">
        <v>0</v>
      </c>
      <c r="K1134" s="1860"/>
      <c r="L1134" s="1854">
        <v>13111050200</v>
      </c>
      <c r="M1134" s="1855">
        <v>0</v>
      </c>
      <c r="N1134" s="1855">
        <v>0</v>
      </c>
      <c r="O1134" s="1855">
        <v>0</v>
      </c>
    </row>
    <row r="1135" spans="3:15" ht="13.5">
      <c r="C1135" s="1861" t="s">
        <v>4925</v>
      </c>
      <c r="D1135" s="1858">
        <v>0</v>
      </c>
      <c r="E1135" s="1858">
        <v>0</v>
      </c>
      <c r="F1135" s="1859">
        <v>0</v>
      </c>
      <c r="G1135" s="1872" t="s">
        <v>4925</v>
      </c>
      <c r="H1135" s="1856">
        <v>0</v>
      </c>
      <c r="I1135" s="1856" t="s">
        <v>3909</v>
      </c>
      <c r="J1135" s="1873">
        <v>0</v>
      </c>
      <c r="K1135" s="1860"/>
      <c r="L1135" s="1854">
        <v>13111050300</v>
      </c>
      <c r="M1135" s="1855">
        <v>0</v>
      </c>
      <c r="N1135" s="1855">
        <v>0</v>
      </c>
      <c r="O1135" s="1855">
        <v>0</v>
      </c>
    </row>
    <row r="1136" spans="3:15" ht="13.5">
      <c r="C1136" s="1861" t="s">
        <v>4926</v>
      </c>
      <c r="D1136" s="1858">
        <v>0</v>
      </c>
      <c r="E1136" s="1858">
        <v>0</v>
      </c>
      <c r="F1136" s="1859">
        <v>0</v>
      </c>
      <c r="G1136" s="1872" t="s">
        <v>4926</v>
      </c>
      <c r="H1136" s="1856">
        <v>0</v>
      </c>
      <c r="I1136" s="1856">
        <v>1</v>
      </c>
      <c r="J1136" s="1873">
        <v>1</v>
      </c>
      <c r="K1136" s="1860"/>
      <c r="L1136" s="1854">
        <v>13111050400</v>
      </c>
      <c r="M1136" s="1855">
        <v>0</v>
      </c>
      <c r="N1136" s="1855">
        <v>1</v>
      </c>
      <c r="O1136" s="1855">
        <v>1</v>
      </c>
    </row>
    <row r="1137" spans="3:15" ht="13.5">
      <c r="C1137" s="1861" t="s">
        <v>4927</v>
      </c>
      <c r="D1137" s="1858">
        <v>0</v>
      </c>
      <c r="E1137" s="1858">
        <v>0</v>
      </c>
      <c r="F1137" s="1859">
        <v>0</v>
      </c>
      <c r="G1137" s="1872" t="s">
        <v>4927</v>
      </c>
      <c r="H1137" s="1856">
        <v>1</v>
      </c>
      <c r="I1137" s="1856">
        <v>0</v>
      </c>
      <c r="J1137" s="1873">
        <v>1</v>
      </c>
      <c r="K1137" s="1860"/>
      <c r="L1137" s="1854">
        <v>13111050500</v>
      </c>
      <c r="M1137" s="1855">
        <v>1</v>
      </c>
      <c r="N1137" s="1855">
        <v>0</v>
      </c>
      <c r="O1137" s="1855">
        <v>1</v>
      </c>
    </row>
    <row r="1138" spans="3:15" ht="13.5">
      <c r="C1138" s="1861" t="s">
        <v>4928</v>
      </c>
      <c r="D1138" s="1858">
        <v>1</v>
      </c>
      <c r="E1138" s="1858">
        <v>0</v>
      </c>
      <c r="F1138" s="1859">
        <v>1</v>
      </c>
      <c r="G1138" s="1872" t="s">
        <v>4928</v>
      </c>
      <c r="H1138" s="1856">
        <v>1</v>
      </c>
      <c r="I1138" s="1856">
        <v>1</v>
      </c>
      <c r="J1138" s="1873">
        <v>2</v>
      </c>
      <c r="K1138" s="1860"/>
      <c r="L1138" s="1854">
        <v>13113140101</v>
      </c>
      <c r="M1138" s="1855">
        <v>1</v>
      </c>
      <c r="N1138" s="1855">
        <v>1</v>
      </c>
      <c r="O1138" s="1855">
        <v>2</v>
      </c>
    </row>
    <row r="1139" spans="3:15" ht="13.5">
      <c r="C1139" s="1861" t="s">
        <v>4929</v>
      </c>
      <c r="D1139" s="1858">
        <v>1</v>
      </c>
      <c r="E1139" s="1858">
        <v>1</v>
      </c>
      <c r="F1139" s="1859">
        <v>2</v>
      </c>
      <c r="G1139" s="1872" t="s">
        <v>4929</v>
      </c>
      <c r="H1139" s="1856">
        <v>1</v>
      </c>
      <c r="I1139" s="1856">
        <v>1</v>
      </c>
      <c r="J1139" s="1873">
        <v>2</v>
      </c>
      <c r="K1139" s="1860"/>
      <c r="L1139" s="1854">
        <v>13113140102</v>
      </c>
      <c r="M1139" s="1855">
        <v>1</v>
      </c>
      <c r="N1139" s="1855">
        <v>1</v>
      </c>
      <c r="O1139" s="1855">
        <v>2</v>
      </c>
    </row>
    <row r="1140" spans="3:15" ht="13.5">
      <c r="C1140" s="1861" t="s">
        <v>4930</v>
      </c>
      <c r="D1140" s="1858">
        <v>1</v>
      </c>
      <c r="E1140" s="1858">
        <v>1</v>
      </c>
      <c r="F1140" s="1859">
        <v>2</v>
      </c>
      <c r="G1140" s="1872" t="s">
        <v>4930</v>
      </c>
      <c r="H1140" s="1856">
        <v>1</v>
      </c>
      <c r="I1140" s="1856">
        <v>1</v>
      </c>
      <c r="J1140" s="1873">
        <v>2</v>
      </c>
      <c r="K1140" s="1860"/>
      <c r="L1140" s="1854">
        <v>13113140203</v>
      </c>
      <c r="M1140" s="1855">
        <v>1</v>
      </c>
      <c r="N1140" s="1855">
        <v>1</v>
      </c>
      <c r="O1140" s="1855">
        <v>2</v>
      </c>
    </row>
    <row r="1141" spans="3:15" ht="13.5">
      <c r="C1141" s="1861" t="s">
        <v>4931</v>
      </c>
      <c r="D1141" s="1858">
        <v>1</v>
      </c>
      <c r="E1141" s="1858">
        <v>1</v>
      </c>
      <c r="F1141" s="1859">
        <v>2</v>
      </c>
      <c r="G1141" s="1872" t="s">
        <v>4931</v>
      </c>
      <c r="H1141" s="1856">
        <v>1</v>
      </c>
      <c r="I1141" s="1856">
        <v>1</v>
      </c>
      <c r="J1141" s="1873">
        <v>2</v>
      </c>
      <c r="K1141" s="1860"/>
      <c r="L1141" s="1854">
        <v>13113140204</v>
      </c>
      <c r="M1141" s="1855">
        <v>1</v>
      </c>
      <c r="N1141" s="1855">
        <v>1</v>
      </c>
      <c r="O1141" s="1855">
        <v>2</v>
      </c>
    </row>
    <row r="1142" spans="3:15" ht="13.5">
      <c r="C1142" s="1861" t="s">
        <v>4932</v>
      </c>
      <c r="D1142" s="1858">
        <v>1</v>
      </c>
      <c r="E1142" s="1858">
        <v>1</v>
      </c>
      <c r="F1142" s="1859">
        <v>2</v>
      </c>
      <c r="G1142" s="1872" t="s">
        <v>4932</v>
      </c>
      <c r="H1142" s="1856">
        <v>1</v>
      </c>
      <c r="I1142" s="1856">
        <v>1</v>
      </c>
      <c r="J1142" s="1873">
        <v>2</v>
      </c>
      <c r="K1142" s="1860"/>
      <c r="L1142" s="1854">
        <v>13113140206</v>
      </c>
      <c r="M1142" s="1855">
        <v>1</v>
      </c>
      <c r="N1142" s="1855">
        <v>1</v>
      </c>
      <c r="O1142" s="1855">
        <v>2</v>
      </c>
    </row>
    <row r="1143" spans="3:15" ht="13.5">
      <c r="C1143" s="1861" t="s">
        <v>4933</v>
      </c>
      <c r="D1143" s="1858">
        <v>1</v>
      </c>
      <c r="E1143" s="1858">
        <v>1</v>
      </c>
      <c r="F1143" s="1859">
        <v>2</v>
      </c>
      <c r="G1143" s="1872" t="s">
        <v>4933</v>
      </c>
      <c r="H1143" s="1856">
        <v>1</v>
      </c>
      <c r="I1143" s="1856">
        <v>1</v>
      </c>
      <c r="J1143" s="1873">
        <v>2</v>
      </c>
      <c r="K1143" s="1860"/>
      <c r="L1143" s="1854">
        <v>13113140207</v>
      </c>
      <c r="M1143" s="1855">
        <v>1</v>
      </c>
      <c r="N1143" s="1855">
        <v>1</v>
      </c>
      <c r="O1143" s="1855">
        <v>2</v>
      </c>
    </row>
    <row r="1144" spans="3:15" ht="13.5">
      <c r="C1144" s="1861" t="s">
        <v>4934</v>
      </c>
      <c r="D1144" s="1858">
        <v>1</v>
      </c>
      <c r="E1144" s="1858">
        <v>1</v>
      </c>
      <c r="F1144" s="1859">
        <v>2</v>
      </c>
      <c r="G1144" s="1872" t="s">
        <v>4934</v>
      </c>
      <c r="H1144" s="1856">
        <v>1</v>
      </c>
      <c r="I1144" s="1856">
        <v>1</v>
      </c>
      <c r="J1144" s="1873">
        <v>2</v>
      </c>
      <c r="K1144" s="1860"/>
      <c r="L1144" s="1854">
        <v>13113140208</v>
      </c>
      <c r="M1144" s="1855">
        <v>1</v>
      </c>
      <c r="N1144" s="1855">
        <v>1</v>
      </c>
      <c r="O1144" s="1855">
        <v>2</v>
      </c>
    </row>
    <row r="1145" spans="3:15" ht="13.5">
      <c r="C1145" s="1861" t="s">
        <v>4935</v>
      </c>
      <c r="D1145" s="1858">
        <v>1</v>
      </c>
      <c r="E1145" s="1858">
        <v>1</v>
      </c>
      <c r="F1145" s="1859">
        <v>2</v>
      </c>
      <c r="G1145" s="1872" t="s">
        <v>4935</v>
      </c>
      <c r="H1145" s="1856">
        <v>1</v>
      </c>
      <c r="I1145" s="1856">
        <v>1</v>
      </c>
      <c r="J1145" s="1873">
        <v>2</v>
      </c>
      <c r="K1145" s="1860"/>
      <c r="L1145" s="1854">
        <v>13113140303</v>
      </c>
      <c r="M1145" s="1855">
        <v>1</v>
      </c>
      <c r="N1145" s="1855">
        <v>1</v>
      </c>
      <c r="O1145" s="1855">
        <v>2</v>
      </c>
    </row>
    <row r="1146" spans="3:15" ht="13.5">
      <c r="C1146" s="1861" t="s">
        <v>4936</v>
      </c>
      <c r="D1146" s="1858">
        <v>1</v>
      </c>
      <c r="E1146" s="1858">
        <v>1</v>
      </c>
      <c r="F1146" s="1859">
        <v>2</v>
      </c>
      <c r="G1146" s="1872" t="s">
        <v>4936</v>
      </c>
      <c r="H1146" s="1856">
        <v>1</v>
      </c>
      <c r="I1146" s="1856">
        <v>1</v>
      </c>
      <c r="J1146" s="1873">
        <v>2</v>
      </c>
      <c r="K1146" s="1860"/>
      <c r="L1146" s="1854">
        <v>13113140304</v>
      </c>
      <c r="M1146" s="1855">
        <v>1</v>
      </c>
      <c r="N1146" s="1855">
        <v>1</v>
      </c>
      <c r="O1146" s="1855">
        <v>2</v>
      </c>
    </row>
    <row r="1147" spans="3:15" ht="13.5">
      <c r="C1147" s="1861" t="s">
        <v>4937</v>
      </c>
      <c r="D1147" s="1858">
        <v>1</v>
      </c>
      <c r="E1147" s="1858">
        <v>1</v>
      </c>
      <c r="F1147" s="1859">
        <v>2</v>
      </c>
      <c r="G1147" s="1872" t="s">
        <v>4937</v>
      </c>
      <c r="H1147" s="1856">
        <v>1</v>
      </c>
      <c r="I1147" s="1856">
        <v>1</v>
      </c>
      <c r="J1147" s="1873">
        <v>2</v>
      </c>
      <c r="K1147" s="1860"/>
      <c r="L1147" s="1854">
        <v>13113140305</v>
      </c>
      <c r="M1147" s="1855">
        <v>1</v>
      </c>
      <c r="N1147" s="1855">
        <v>1</v>
      </c>
      <c r="O1147" s="1855">
        <v>2</v>
      </c>
    </row>
    <row r="1148" spans="3:15" ht="13.5">
      <c r="C1148" s="1861" t="s">
        <v>4938</v>
      </c>
      <c r="D1148" s="1858">
        <v>1</v>
      </c>
      <c r="E1148" s="1858">
        <v>1</v>
      </c>
      <c r="F1148" s="1859">
        <v>2</v>
      </c>
      <c r="G1148" s="1872" t="s">
        <v>4938</v>
      </c>
      <c r="H1148" s="1856">
        <v>1</v>
      </c>
      <c r="I1148" s="1856">
        <v>1</v>
      </c>
      <c r="J1148" s="1873">
        <v>2</v>
      </c>
      <c r="K1148" s="1860"/>
      <c r="L1148" s="1854">
        <v>13113140306</v>
      </c>
      <c r="M1148" s="1855">
        <v>1</v>
      </c>
      <c r="N1148" s="1855">
        <v>1</v>
      </c>
      <c r="O1148" s="1855">
        <v>2</v>
      </c>
    </row>
    <row r="1149" spans="3:15" ht="13.5">
      <c r="C1149" s="1861" t="s">
        <v>4939</v>
      </c>
      <c r="D1149" s="1858">
        <v>1</v>
      </c>
      <c r="E1149" s="1858">
        <v>1</v>
      </c>
      <c r="F1149" s="1859">
        <v>2</v>
      </c>
      <c r="G1149" s="1872" t="s">
        <v>4939</v>
      </c>
      <c r="H1149" s="1856">
        <v>1</v>
      </c>
      <c r="I1149" s="1856">
        <v>1</v>
      </c>
      <c r="J1149" s="1873">
        <v>2</v>
      </c>
      <c r="K1149" s="1860"/>
      <c r="L1149" s="1854">
        <v>13113140307</v>
      </c>
      <c r="M1149" s="1855">
        <v>1</v>
      </c>
      <c r="N1149" s="1855">
        <v>1</v>
      </c>
      <c r="O1149" s="1855">
        <v>2</v>
      </c>
    </row>
    <row r="1150" spans="3:15" ht="13.5">
      <c r="C1150" s="1861" t="s">
        <v>4940</v>
      </c>
      <c r="D1150" s="1858">
        <v>1</v>
      </c>
      <c r="E1150" s="1858">
        <v>1</v>
      </c>
      <c r="F1150" s="1859">
        <v>2</v>
      </c>
      <c r="G1150" s="1872" t="s">
        <v>4940</v>
      </c>
      <c r="H1150" s="1856">
        <v>1</v>
      </c>
      <c r="I1150" s="1856">
        <v>1</v>
      </c>
      <c r="J1150" s="1873">
        <v>2</v>
      </c>
      <c r="K1150" s="1860"/>
      <c r="L1150" s="1854">
        <v>13113140403</v>
      </c>
      <c r="M1150" s="1855">
        <v>1</v>
      </c>
      <c r="N1150" s="1855">
        <v>1</v>
      </c>
      <c r="O1150" s="1855">
        <v>2</v>
      </c>
    </row>
    <row r="1151" spans="3:15" ht="13.5">
      <c r="C1151" s="1861" t="s">
        <v>4941</v>
      </c>
      <c r="D1151" s="1858">
        <v>1</v>
      </c>
      <c r="E1151" s="1858">
        <v>1</v>
      </c>
      <c r="F1151" s="1859">
        <v>2</v>
      </c>
      <c r="G1151" s="1872" t="s">
        <v>4941</v>
      </c>
      <c r="H1151" s="1856">
        <v>1</v>
      </c>
      <c r="I1151" s="1856">
        <v>1</v>
      </c>
      <c r="J1151" s="1873">
        <v>2</v>
      </c>
      <c r="K1151" s="1860"/>
      <c r="L1151" s="1854">
        <v>13113140404</v>
      </c>
      <c r="M1151" s="1855">
        <v>1</v>
      </c>
      <c r="N1151" s="1855">
        <v>1</v>
      </c>
      <c r="O1151" s="1855">
        <v>2</v>
      </c>
    </row>
    <row r="1152" spans="3:15" ht="13.5">
      <c r="C1152" s="1861" t="s">
        <v>4942</v>
      </c>
      <c r="D1152" s="1858">
        <v>1</v>
      </c>
      <c r="E1152" s="1858">
        <v>1</v>
      </c>
      <c r="F1152" s="1859">
        <v>2</v>
      </c>
      <c r="G1152" s="1872" t="s">
        <v>4942</v>
      </c>
      <c r="H1152" s="1856">
        <v>1</v>
      </c>
      <c r="I1152" s="1856">
        <v>1</v>
      </c>
      <c r="J1152" s="1873">
        <v>2</v>
      </c>
      <c r="K1152" s="1860"/>
      <c r="L1152" s="1854">
        <v>13113140405</v>
      </c>
      <c r="M1152" s="1855">
        <v>1</v>
      </c>
      <c r="N1152" s="1855">
        <v>1</v>
      </c>
      <c r="O1152" s="1855">
        <v>2</v>
      </c>
    </row>
    <row r="1153" spans="3:15" ht="13.5">
      <c r="C1153" s="1861" t="s">
        <v>4943</v>
      </c>
      <c r="D1153" s="1858">
        <v>0</v>
      </c>
      <c r="E1153" s="1858">
        <v>1</v>
      </c>
      <c r="F1153" s="1859">
        <v>1</v>
      </c>
      <c r="G1153" s="1872" t="s">
        <v>4943</v>
      </c>
      <c r="H1153" s="1856">
        <v>0</v>
      </c>
      <c r="I1153" s="1856">
        <v>1</v>
      </c>
      <c r="J1153" s="1873">
        <v>1</v>
      </c>
      <c r="K1153" s="1860"/>
      <c r="L1153" s="1854">
        <v>13113140406</v>
      </c>
      <c r="M1153" s="1855">
        <v>0</v>
      </c>
      <c r="N1153" s="1855">
        <v>1</v>
      </c>
      <c r="O1153" s="1855">
        <v>1</v>
      </c>
    </row>
    <row r="1154" spans="3:15" ht="13.5">
      <c r="C1154" s="1861" t="s">
        <v>4944</v>
      </c>
      <c r="D1154" s="1858">
        <v>1</v>
      </c>
      <c r="E1154" s="1858">
        <v>1</v>
      </c>
      <c r="F1154" s="1859">
        <v>2</v>
      </c>
      <c r="G1154" s="1872" t="s">
        <v>4944</v>
      </c>
      <c r="H1154" s="1856">
        <v>1</v>
      </c>
      <c r="I1154" s="1856">
        <v>1</v>
      </c>
      <c r="J1154" s="1873">
        <v>2</v>
      </c>
      <c r="K1154" s="1860"/>
      <c r="L1154" s="1854">
        <v>13113140407</v>
      </c>
      <c r="M1154" s="1855">
        <v>1</v>
      </c>
      <c r="N1154" s="1855">
        <v>1</v>
      </c>
      <c r="O1154" s="1855">
        <v>2</v>
      </c>
    </row>
    <row r="1155" spans="3:15" ht="13.5">
      <c r="C1155" s="1861" t="s">
        <v>4945</v>
      </c>
      <c r="D1155" s="1858">
        <v>1</v>
      </c>
      <c r="E1155" s="1858">
        <v>1</v>
      </c>
      <c r="F1155" s="1859">
        <v>2</v>
      </c>
      <c r="G1155" s="1872" t="s">
        <v>4945</v>
      </c>
      <c r="H1155" s="1856">
        <v>1</v>
      </c>
      <c r="I1155" s="1856">
        <v>1</v>
      </c>
      <c r="J1155" s="1873">
        <v>2</v>
      </c>
      <c r="K1155" s="1860"/>
      <c r="L1155" s="1854">
        <v>13113140408</v>
      </c>
      <c r="M1155" s="1855">
        <v>1</v>
      </c>
      <c r="N1155" s="1855">
        <v>1</v>
      </c>
      <c r="O1155" s="1855">
        <v>2</v>
      </c>
    </row>
    <row r="1156" spans="3:15" ht="13.5">
      <c r="C1156" s="1861" t="s">
        <v>4946</v>
      </c>
      <c r="D1156" s="1858">
        <v>1</v>
      </c>
      <c r="E1156" s="1858">
        <v>1</v>
      </c>
      <c r="F1156" s="1859">
        <v>2</v>
      </c>
      <c r="G1156" s="1872" t="s">
        <v>4946</v>
      </c>
      <c r="H1156" s="1856">
        <v>1</v>
      </c>
      <c r="I1156" s="1856">
        <v>1</v>
      </c>
      <c r="J1156" s="1873">
        <v>2</v>
      </c>
      <c r="K1156" s="1860"/>
      <c r="L1156" s="1854">
        <v>13113140501</v>
      </c>
      <c r="M1156" s="1855">
        <v>1</v>
      </c>
      <c r="N1156" s="1855">
        <v>1</v>
      </c>
      <c r="O1156" s="1855">
        <v>2</v>
      </c>
    </row>
    <row r="1157" spans="3:15" ht="13.5">
      <c r="C1157" s="1861" t="s">
        <v>4947</v>
      </c>
      <c r="D1157" s="1858">
        <v>1</v>
      </c>
      <c r="E1157" s="1858">
        <v>1</v>
      </c>
      <c r="F1157" s="1859">
        <v>2</v>
      </c>
      <c r="G1157" s="1872" t="s">
        <v>4947</v>
      </c>
      <c r="H1157" s="1856">
        <v>1</v>
      </c>
      <c r="I1157" s="1856">
        <v>1</v>
      </c>
      <c r="J1157" s="1873">
        <v>2</v>
      </c>
      <c r="K1157" s="1860"/>
      <c r="L1157" s="1854">
        <v>13113140502</v>
      </c>
      <c r="M1157" s="1855">
        <v>1</v>
      </c>
      <c r="N1157" s="1855">
        <v>1</v>
      </c>
      <c r="O1157" s="1855">
        <v>2</v>
      </c>
    </row>
    <row r="1158" spans="3:15" ht="13.5">
      <c r="C1158" s="1861" t="s">
        <v>4948</v>
      </c>
      <c r="D1158" s="1858">
        <v>0</v>
      </c>
      <c r="E1158" s="1858">
        <v>0</v>
      </c>
      <c r="F1158" s="1859">
        <v>0</v>
      </c>
      <c r="G1158" s="1872" t="s">
        <v>4948</v>
      </c>
      <c r="H1158" s="1856">
        <v>0</v>
      </c>
      <c r="I1158" s="1856">
        <v>1</v>
      </c>
      <c r="J1158" s="1873">
        <v>1</v>
      </c>
      <c r="K1158" s="1860"/>
      <c r="L1158" s="1854">
        <v>13115000100</v>
      </c>
      <c r="M1158" s="1855">
        <v>0</v>
      </c>
      <c r="N1158" s="1855">
        <v>1</v>
      </c>
      <c r="O1158" s="1855">
        <v>1</v>
      </c>
    </row>
    <row r="1159" spans="3:15" ht="13.5">
      <c r="C1159" s="1861" t="s">
        <v>4949</v>
      </c>
      <c r="D1159" s="1858">
        <v>1</v>
      </c>
      <c r="E1159" s="1858">
        <v>1</v>
      </c>
      <c r="F1159" s="1859">
        <v>2</v>
      </c>
      <c r="G1159" s="1872" t="s">
        <v>4949</v>
      </c>
      <c r="H1159" s="1856">
        <v>1</v>
      </c>
      <c r="I1159" s="1856">
        <v>0</v>
      </c>
      <c r="J1159" s="1873">
        <v>1</v>
      </c>
      <c r="K1159" s="1860"/>
      <c r="L1159" s="1854">
        <v>13115000201</v>
      </c>
      <c r="M1159" s="1855">
        <v>1</v>
      </c>
      <c r="N1159" s="1855">
        <v>1</v>
      </c>
      <c r="O1159" s="1855">
        <v>2</v>
      </c>
    </row>
    <row r="1160" spans="3:15" ht="13.5">
      <c r="C1160" s="1861" t="s">
        <v>4950</v>
      </c>
      <c r="D1160" s="1858">
        <v>1</v>
      </c>
      <c r="E1160" s="1858">
        <v>1</v>
      </c>
      <c r="F1160" s="1859">
        <v>2</v>
      </c>
      <c r="G1160" s="1872" t="s">
        <v>4950</v>
      </c>
      <c r="H1160" s="1856">
        <v>1</v>
      </c>
      <c r="I1160" s="1856">
        <v>1</v>
      </c>
      <c r="J1160" s="1873">
        <v>2</v>
      </c>
      <c r="K1160" s="1860"/>
      <c r="L1160" s="1854">
        <v>13115000202</v>
      </c>
      <c r="M1160" s="1855">
        <v>1</v>
      </c>
      <c r="N1160" s="1855">
        <v>1</v>
      </c>
      <c r="O1160" s="1856">
        <v>2</v>
      </c>
    </row>
    <row r="1161" spans="3:15" ht="13.5">
      <c r="C1161" s="1861" t="s">
        <v>4951</v>
      </c>
      <c r="D1161" s="1858">
        <v>1</v>
      </c>
      <c r="E1161" s="1858">
        <v>1</v>
      </c>
      <c r="F1161" s="1859">
        <v>2</v>
      </c>
      <c r="G1161" s="1872" t="s">
        <v>4951</v>
      </c>
      <c r="H1161" s="1856">
        <v>1</v>
      </c>
      <c r="I1161" s="1856">
        <v>1</v>
      </c>
      <c r="J1161" s="1873">
        <v>2</v>
      </c>
      <c r="K1161" s="1860"/>
      <c r="L1161" s="1854">
        <v>13115000300</v>
      </c>
      <c r="M1161" s="1855">
        <v>1</v>
      </c>
      <c r="N1161" s="1855">
        <v>1</v>
      </c>
      <c r="O1161" s="1856">
        <v>2</v>
      </c>
    </row>
    <row r="1162" spans="3:15" ht="13.5">
      <c r="C1162" s="1861" t="s">
        <v>4952</v>
      </c>
      <c r="D1162" s="1858">
        <v>0</v>
      </c>
      <c r="E1162" s="1858">
        <v>0</v>
      </c>
      <c r="F1162" s="1859">
        <v>0</v>
      </c>
      <c r="G1162" s="1872" t="s">
        <v>4952</v>
      </c>
      <c r="H1162" s="1856">
        <v>0</v>
      </c>
      <c r="I1162" s="1856">
        <v>1</v>
      </c>
      <c r="J1162" s="1873">
        <v>1</v>
      </c>
      <c r="K1162" s="1860"/>
      <c r="L1162" s="1854">
        <v>13115000400</v>
      </c>
      <c r="M1162" s="1855">
        <v>0</v>
      </c>
      <c r="N1162" s="1855">
        <v>1</v>
      </c>
      <c r="O1162" s="1856">
        <v>1</v>
      </c>
    </row>
    <row r="1163" spans="3:15" ht="13.5">
      <c r="C1163" s="1861" t="s">
        <v>4953</v>
      </c>
      <c r="D1163" s="1858">
        <v>0</v>
      </c>
      <c r="E1163" s="1858">
        <v>0</v>
      </c>
      <c r="F1163" s="1859">
        <v>0</v>
      </c>
      <c r="G1163" s="1872" t="s">
        <v>4953</v>
      </c>
      <c r="H1163" s="1856">
        <v>0</v>
      </c>
      <c r="I1163" s="1856">
        <v>0</v>
      </c>
      <c r="J1163" s="1873">
        <v>0</v>
      </c>
      <c r="K1163" s="1860"/>
      <c r="L1163" s="1854">
        <v>13115000500</v>
      </c>
      <c r="M1163" s="1855">
        <v>0</v>
      </c>
      <c r="N1163" s="1855">
        <v>0</v>
      </c>
      <c r="O1163" s="1856">
        <v>0</v>
      </c>
    </row>
    <row r="1164" spans="3:15" ht="13.5">
      <c r="C1164" s="1861" t="s">
        <v>4954</v>
      </c>
      <c r="D1164" s="1858">
        <v>0</v>
      </c>
      <c r="E1164" s="1858">
        <v>0</v>
      </c>
      <c r="F1164" s="1859">
        <v>0</v>
      </c>
      <c r="G1164" s="1872" t="s">
        <v>4954</v>
      </c>
      <c r="H1164" s="1856">
        <v>0</v>
      </c>
      <c r="I1164" s="1856">
        <v>0</v>
      </c>
      <c r="J1164" s="1873">
        <v>0</v>
      </c>
      <c r="K1164" s="1860"/>
      <c r="L1164" s="1854">
        <v>13115000600</v>
      </c>
      <c r="M1164" s="1855">
        <v>0</v>
      </c>
      <c r="N1164" s="1855">
        <v>0</v>
      </c>
      <c r="O1164" s="1856">
        <v>0</v>
      </c>
    </row>
    <row r="1165" spans="3:15" ht="13.5">
      <c r="C1165" s="1861" t="s">
        <v>4955</v>
      </c>
      <c r="D1165" s="1858">
        <v>1</v>
      </c>
      <c r="E1165" s="1858">
        <v>1</v>
      </c>
      <c r="F1165" s="1859">
        <v>2</v>
      </c>
      <c r="G1165" s="1872" t="s">
        <v>4955</v>
      </c>
      <c r="H1165" s="1856">
        <v>0</v>
      </c>
      <c r="I1165" s="1856">
        <v>1</v>
      </c>
      <c r="J1165" s="1873">
        <v>1</v>
      </c>
      <c r="K1165" s="1860"/>
      <c r="L1165" s="1854">
        <v>13115000700</v>
      </c>
      <c r="M1165" s="1855">
        <v>1</v>
      </c>
      <c r="N1165" s="1855">
        <v>1</v>
      </c>
      <c r="O1165" s="1856">
        <v>2</v>
      </c>
    </row>
    <row r="1166" spans="3:15" ht="13.5">
      <c r="C1166" s="1861" t="s">
        <v>4956</v>
      </c>
      <c r="D1166" s="1858">
        <v>1</v>
      </c>
      <c r="E1166" s="1858">
        <v>1</v>
      </c>
      <c r="F1166" s="1859">
        <v>2</v>
      </c>
      <c r="G1166" s="1872" t="s">
        <v>4956</v>
      </c>
      <c r="H1166" s="1856">
        <v>1</v>
      </c>
      <c r="I1166" s="1856">
        <v>1</v>
      </c>
      <c r="J1166" s="1873">
        <v>2</v>
      </c>
      <c r="K1166" s="1860"/>
      <c r="L1166" s="1854">
        <v>13115000800</v>
      </c>
      <c r="M1166" s="1855">
        <v>1</v>
      </c>
      <c r="N1166" s="1855">
        <v>1</v>
      </c>
      <c r="O1166" s="1856">
        <v>2</v>
      </c>
    </row>
    <row r="1167" spans="3:15" ht="13.5">
      <c r="C1167" s="1861" t="s">
        <v>4957</v>
      </c>
      <c r="D1167" s="1858">
        <v>0</v>
      </c>
      <c r="E1167" s="1858">
        <v>1</v>
      </c>
      <c r="F1167" s="1859">
        <v>1</v>
      </c>
      <c r="G1167" s="1872" t="s">
        <v>4957</v>
      </c>
      <c r="H1167" s="1856">
        <v>0</v>
      </c>
      <c r="I1167" s="1856">
        <v>1</v>
      </c>
      <c r="J1167" s="1873">
        <v>1</v>
      </c>
      <c r="K1167" s="1860"/>
      <c r="L1167" s="1854">
        <v>13115000900</v>
      </c>
      <c r="M1167" s="1855">
        <v>0</v>
      </c>
      <c r="N1167" s="1855">
        <v>1</v>
      </c>
      <c r="O1167" s="1856">
        <v>1</v>
      </c>
    </row>
    <row r="1168" spans="3:15" ht="13.5">
      <c r="C1168" s="1861" t="s">
        <v>4958</v>
      </c>
      <c r="D1168" s="1858">
        <v>0</v>
      </c>
      <c r="E1168" s="1858">
        <v>0</v>
      </c>
      <c r="F1168" s="1859">
        <v>0</v>
      </c>
      <c r="G1168" s="1872" t="s">
        <v>4958</v>
      </c>
      <c r="H1168" s="1856">
        <v>0</v>
      </c>
      <c r="I1168" s="1856">
        <v>0</v>
      </c>
      <c r="J1168" s="1873">
        <v>0</v>
      </c>
      <c r="K1168" s="1860"/>
      <c r="L1168" s="1854">
        <v>13115001100</v>
      </c>
      <c r="M1168" s="1855">
        <v>0</v>
      </c>
      <c r="N1168" s="1855">
        <v>0</v>
      </c>
      <c r="O1168" s="1856">
        <v>0</v>
      </c>
    </row>
    <row r="1169" spans="3:15" ht="13.5">
      <c r="C1169" s="1861" t="s">
        <v>4959</v>
      </c>
      <c r="D1169" s="1858">
        <v>0</v>
      </c>
      <c r="E1169" s="1858">
        <v>0</v>
      </c>
      <c r="F1169" s="1859">
        <v>0</v>
      </c>
      <c r="G1169" s="1872" t="s">
        <v>4959</v>
      </c>
      <c r="H1169" s="1856">
        <v>0</v>
      </c>
      <c r="I1169" s="1856">
        <v>0</v>
      </c>
      <c r="J1169" s="1873">
        <v>0</v>
      </c>
      <c r="K1169" s="1860"/>
      <c r="L1169" s="1854">
        <v>13115001200</v>
      </c>
      <c r="M1169" s="1855">
        <v>0</v>
      </c>
      <c r="N1169" s="1855">
        <v>0</v>
      </c>
      <c r="O1169" s="1856">
        <v>0</v>
      </c>
    </row>
    <row r="1170" spans="3:15" ht="13.5">
      <c r="C1170" s="1861" t="s">
        <v>4960</v>
      </c>
      <c r="D1170" s="1858">
        <v>0</v>
      </c>
      <c r="E1170" s="1858">
        <v>0</v>
      </c>
      <c r="F1170" s="1859">
        <v>0</v>
      </c>
      <c r="G1170" s="1872" t="s">
        <v>4960</v>
      </c>
      <c r="H1170" s="1856">
        <v>0</v>
      </c>
      <c r="I1170" s="1856">
        <v>0</v>
      </c>
      <c r="J1170" s="1873">
        <v>0</v>
      </c>
      <c r="K1170" s="1860"/>
      <c r="L1170" s="1854">
        <v>13115001300</v>
      </c>
      <c r="M1170" s="1855">
        <v>0</v>
      </c>
      <c r="N1170" s="1855">
        <v>0</v>
      </c>
      <c r="O1170" s="1856">
        <v>0</v>
      </c>
    </row>
    <row r="1171" spans="3:15" ht="13.5">
      <c r="C1171" s="1861" t="s">
        <v>4961</v>
      </c>
      <c r="D1171" s="1858">
        <v>1</v>
      </c>
      <c r="E1171" s="1858">
        <v>1</v>
      </c>
      <c r="F1171" s="1859">
        <v>2</v>
      </c>
      <c r="G1171" s="1872" t="s">
        <v>4961</v>
      </c>
      <c r="H1171" s="1856">
        <v>0</v>
      </c>
      <c r="I1171" s="1856">
        <v>1</v>
      </c>
      <c r="J1171" s="1873">
        <v>1</v>
      </c>
      <c r="K1171" s="1860"/>
      <c r="L1171" s="1854">
        <v>13115001400</v>
      </c>
      <c r="M1171" s="1855">
        <v>1</v>
      </c>
      <c r="N1171" s="1855">
        <v>1</v>
      </c>
      <c r="O1171" s="1856">
        <v>2</v>
      </c>
    </row>
    <row r="1172" spans="3:15" ht="13.5">
      <c r="C1172" s="1861" t="s">
        <v>4962</v>
      </c>
      <c r="D1172" s="1858">
        <v>0</v>
      </c>
      <c r="E1172" s="1858">
        <v>0</v>
      </c>
      <c r="F1172" s="1859">
        <v>0</v>
      </c>
      <c r="G1172" s="1872" t="s">
        <v>4962</v>
      </c>
      <c r="H1172" s="1856">
        <v>0</v>
      </c>
      <c r="I1172" s="1856">
        <v>0</v>
      </c>
      <c r="J1172" s="1873">
        <v>0</v>
      </c>
      <c r="K1172" s="1860"/>
      <c r="L1172" s="1854">
        <v>13115001600</v>
      </c>
      <c r="M1172" s="1855">
        <v>0</v>
      </c>
      <c r="N1172" s="1855">
        <v>0</v>
      </c>
      <c r="O1172" s="1856">
        <v>0</v>
      </c>
    </row>
    <row r="1173" spans="3:15" ht="13.5">
      <c r="C1173" s="1861" t="s">
        <v>4963</v>
      </c>
      <c r="D1173" s="1858">
        <v>1</v>
      </c>
      <c r="E1173" s="1858">
        <v>0</v>
      </c>
      <c r="F1173" s="1859">
        <v>1</v>
      </c>
      <c r="G1173" s="1872" t="s">
        <v>4963</v>
      </c>
      <c r="H1173" s="1856">
        <v>1</v>
      </c>
      <c r="I1173" s="1856">
        <v>1</v>
      </c>
      <c r="J1173" s="1873">
        <v>2</v>
      </c>
      <c r="K1173" s="1860"/>
      <c r="L1173" s="1854">
        <v>13115001701</v>
      </c>
      <c r="M1173" s="1855">
        <v>1</v>
      </c>
      <c r="N1173" s="1855">
        <v>1</v>
      </c>
      <c r="O1173" s="1856">
        <v>2</v>
      </c>
    </row>
    <row r="1174" spans="3:15" ht="13.5">
      <c r="C1174" s="1861" t="s">
        <v>4964</v>
      </c>
      <c r="D1174" s="1858">
        <v>1</v>
      </c>
      <c r="E1174" s="1858">
        <v>1</v>
      </c>
      <c r="F1174" s="1859">
        <v>2</v>
      </c>
      <c r="G1174" s="1872" t="s">
        <v>4964</v>
      </c>
      <c r="H1174" s="1856">
        <v>0</v>
      </c>
      <c r="I1174" s="1856">
        <v>0</v>
      </c>
      <c r="J1174" s="1873">
        <v>0</v>
      </c>
      <c r="K1174" s="1860"/>
      <c r="L1174" s="1854">
        <v>13115001702</v>
      </c>
      <c r="M1174" s="1855">
        <v>1</v>
      </c>
      <c r="N1174" s="1855">
        <v>1</v>
      </c>
      <c r="O1174" s="1856">
        <v>2</v>
      </c>
    </row>
    <row r="1175" spans="3:15" ht="13.5">
      <c r="C1175" s="1861" t="s">
        <v>4965</v>
      </c>
      <c r="D1175" s="1858">
        <v>0</v>
      </c>
      <c r="E1175" s="1858">
        <v>0</v>
      </c>
      <c r="F1175" s="1859">
        <v>0</v>
      </c>
      <c r="G1175" s="1872" t="s">
        <v>4965</v>
      </c>
      <c r="H1175" s="1856">
        <v>0</v>
      </c>
      <c r="I1175" s="1856">
        <v>0</v>
      </c>
      <c r="J1175" s="1873">
        <v>0</v>
      </c>
      <c r="K1175" s="1860"/>
      <c r="L1175" s="1854">
        <v>13115001800</v>
      </c>
      <c r="M1175" s="1855">
        <v>0</v>
      </c>
      <c r="N1175" s="1855">
        <v>0</v>
      </c>
      <c r="O1175" s="1856">
        <v>0</v>
      </c>
    </row>
    <row r="1176" spans="3:15" ht="13.5">
      <c r="C1176" s="1861" t="s">
        <v>4966</v>
      </c>
      <c r="D1176" s="1858">
        <v>0</v>
      </c>
      <c r="E1176" s="1858">
        <v>0</v>
      </c>
      <c r="F1176" s="1859">
        <v>0</v>
      </c>
      <c r="G1176" s="1872" t="s">
        <v>4966</v>
      </c>
      <c r="H1176" s="1856">
        <v>0</v>
      </c>
      <c r="I1176" s="1856">
        <v>0</v>
      </c>
      <c r="J1176" s="1873">
        <v>0</v>
      </c>
      <c r="K1176" s="1860"/>
      <c r="L1176" s="1854">
        <v>13115002000</v>
      </c>
      <c r="M1176" s="1855">
        <v>0</v>
      </c>
      <c r="N1176" s="1855">
        <v>0</v>
      </c>
      <c r="O1176" s="1856">
        <v>0</v>
      </c>
    </row>
    <row r="1177" spans="3:15" ht="13.5">
      <c r="C1177" s="1861" t="s">
        <v>4967</v>
      </c>
      <c r="D1177" s="1858">
        <v>0</v>
      </c>
      <c r="E1177" s="1858">
        <v>0</v>
      </c>
      <c r="F1177" s="1859">
        <v>0</v>
      </c>
      <c r="G1177" s="1872" t="s">
        <v>4967</v>
      </c>
      <c r="H1177" s="1856">
        <v>0</v>
      </c>
      <c r="I1177" s="1856">
        <v>0</v>
      </c>
      <c r="J1177" s="1873">
        <v>0</v>
      </c>
      <c r="K1177" s="1860"/>
      <c r="L1177" s="1854">
        <v>13115002100</v>
      </c>
      <c r="M1177" s="1855">
        <v>0</v>
      </c>
      <c r="N1177" s="1855">
        <v>0</v>
      </c>
      <c r="O1177" s="1856">
        <v>0</v>
      </c>
    </row>
    <row r="1178" spans="3:15" ht="13.5">
      <c r="C1178" s="1861" t="s">
        <v>4968</v>
      </c>
      <c r="D1178" s="1858">
        <v>1</v>
      </c>
      <c r="E1178" s="1858">
        <v>1</v>
      </c>
      <c r="F1178" s="1859">
        <v>2</v>
      </c>
      <c r="G1178" s="1872" t="s">
        <v>4968</v>
      </c>
      <c r="H1178" s="1856">
        <v>1</v>
      </c>
      <c r="I1178" s="1856">
        <v>1</v>
      </c>
      <c r="J1178" s="1873">
        <v>2</v>
      </c>
      <c r="K1178" s="1860"/>
      <c r="L1178" s="1854">
        <v>13117130101</v>
      </c>
      <c r="M1178" s="1855">
        <v>1</v>
      </c>
      <c r="N1178" s="1855">
        <v>1</v>
      </c>
      <c r="O1178" s="1856">
        <v>2</v>
      </c>
    </row>
    <row r="1179" spans="3:15" ht="13.5">
      <c r="C1179" s="1861" t="s">
        <v>4969</v>
      </c>
      <c r="D1179" s="1858">
        <v>1</v>
      </c>
      <c r="E1179" s="1858">
        <v>1</v>
      </c>
      <c r="F1179" s="1859">
        <v>2</v>
      </c>
      <c r="G1179" s="1872" t="s">
        <v>4969</v>
      </c>
      <c r="H1179" s="1856">
        <v>1</v>
      </c>
      <c r="I1179" s="1856">
        <v>1</v>
      </c>
      <c r="J1179" s="1873">
        <v>2</v>
      </c>
      <c r="K1179" s="1860"/>
      <c r="L1179" s="1854">
        <v>13117130102</v>
      </c>
      <c r="M1179" s="1855">
        <v>1</v>
      </c>
      <c r="N1179" s="1855">
        <v>1</v>
      </c>
      <c r="O1179" s="1856">
        <v>2</v>
      </c>
    </row>
    <row r="1180" spans="3:15" ht="13.5">
      <c r="C1180" s="1861" t="s">
        <v>4970</v>
      </c>
      <c r="D1180" s="1858">
        <v>1</v>
      </c>
      <c r="E1180" s="1858">
        <v>1</v>
      </c>
      <c r="F1180" s="1859">
        <v>2</v>
      </c>
      <c r="G1180" s="1872" t="s">
        <v>4970</v>
      </c>
      <c r="H1180" s="1856">
        <v>1</v>
      </c>
      <c r="I1180" s="1856">
        <v>0</v>
      </c>
      <c r="J1180" s="1873">
        <v>1</v>
      </c>
      <c r="K1180" s="1860"/>
      <c r="L1180" s="1854">
        <v>13117130103</v>
      </c>
      <c r="M1180" s="1855">
        <v>1</v>
      </c>
      <c r="N1180" s="1855">
        <v>1</v>
      </c>
      <c r="O1180" s="1856">
        <v>2</v>
      </c>
    </row>
    <row r="1181" spans="3:15" ht="13.5">
      <c r="C1181" s="1861" t="s">
        <v>4971</v>
      </c>
      <c r="D1181" s="1858">
        <v>1</v>
      </c>
      <c r="E1181" s="1858">
        <v>1</v>
      </c>
      <c r="F1181" s="1859">
        <v>2</v>
      </c>
      <c r="G1181" s="1872" t="s">
        <v>4971</v>
      </c>
      <c r="H1181" s="1856">
        <v>1</v>
      </c>
      <c r="I1181" s="1856">
        <v>1</v>
      </c>
      <c r="J1181" s="1873">
        <v>2</v>
      </c>
      <c r="K1181" s="1860"/>
      <c r="L1181" s="1854">
        <v>13117130104</v>
      </c>
      <c r="M1181" s="1855">
        <v>1</v>
      </c>
      <c r="N1181" s="1855">
        <v>1</v>
      </c>
      <c r="O1181" s="1856">
        <v>2</v>
      </c>
    </row>
    <row r="1182" spans="3:15" ht="13.5">
      <c r="C1182" s="1861" t="s">
        <v>4972</v>
      </c>
      <c r="D1182" s="1858">
        <v>0</v>
      </c>
      <c r="E1182" s="1858">
        <v>0</v>
      </c>
      <c r="F1182" s="1859">
        <v>0</v>
      </c>
      <c r="G1182" s="1872" t="s">
        <v>4972</v>
      </c>
      <c r="H1182" s="1856">
        <v>0</v>
      </c>
      <c r="I1182" s="1856">
        <v>1</v>
      </c>
      <c r="J1182" s="1873">
        <v>1</v>
      </c>
      <c r="K1182" s="1860"/>
      <c r="L1182" s="1854">
        <v>13117130105</v>
      </c>
      <c r="M1182" s="1855">
        <v>0</v>
      </c>
      <c r="N1182" s="1855">
        <v>1</v>
      </c>
      <c r="O1182" s="1856">
        <v>1</v>
      </c>
    </row>
    <row r="1183" spans="3:15" ht="13.5">
      <c r="C1183" s="1861" t="s">
        <v>4973</v>
      </c>
      <c r="D1183" s="1858">
        <v>1</v>
      </c>
      <c r="E1183" s="1858">
        <v>1</v>
      </c>
      <c r="F1183" s="1859">
        <v>2</v>
      </c>
      <c r="G1183" s="1872" t="s">
        <v>4973</v>
      </c>
      <c r="H1183" s="1856">
        <v>1</v>
      </c>
      <c r="I1183" s="1856">
        <v>1</v>
      </c>
      <c r="J1183" s="1873">
        <v>2</v>
      </c>
      <c r="K1183" s="1860"/>
      <c r="L1183" s="1854">
        <v>13117130201</v>
      </c>
      <c r="M1183" s="1855">
        <v>1</v>
      </c>
      <c r="N1183" s="1855">
        <v>1</v>
      </c>
      <c r="O1183" s="1856">
        <v>2</v>
      </c>
    </row>
    <row r="1184" spans="3:15" ht="13.5">
      <c r="C1184" s="1861" t="s">
        <v>4974</v>
      </c>
      <c r="D1184" s="1858">
        <v>1</v>
      </c>
      <c r="E1184" s="1858">
        <v>1</v>
      </c>
      <c r="F1184" s="1859">
        <v>2</v>
      </c>
      <c r="G1184" s="1872" t="s">
        <v>4974</v>
      </c>
      <c r="H1184" s="1856">
        <v>1</v>
      </c>
      <c r="I1184" s="1856" t="s">
        <v>3909</v>
      </c>
      <c r="J1184" s="1873">
        <v>1</v>
      </c>
      <c r="K1184" s="1860"/>
      <c r="L1184" s="1854">
        <v>13117130202</v>
      </c>
      <c r="M1184" s="1855">
        <v>1</v>
      </c>
      <c r="N1184" s="1855">
        <v>1</v>
      </c>
      <c r="O1184" s="1856">
        <v>2</v>
      </c>
    </row>
    <row r="1185" spans="3:15" ht="13.5">
      <c r="C1185" s="1861" t="s">
        <v>4975</v>
      </c>
      <c r="D1185" s="1858">
        <v>1</v>
      </c>
      <c r="E1185" s="1858">
        <v>1</v>
      </c>
      <c r="F1185" s="1859">
        <v>2</v>
      </c>
      <c r="G1185" s="1872" t="s">
        <v>4975</v>
      </c>
      <c r="H1185" s="1856">
        <v>1</v>
      </c>
      <c r="I1185" s="1856">
        <v>1</v>
      </c>
      <c r="J1185" s="1873">
        <v>2</v>
      </c>
      <c r="K1185" s="1860"/>
      <c r="L1185" s="1854">
        <v>13117130203</v>
      </c>
      <c r="M1185" s="1855">
        <v>1</v>
      </c>
      <c r="N1185" s="1855">
        <v>1</v>
      </c>
      <c r="O1185" s="1856">
        <v>2</v>
      </c>
    </row>
    <row r="1186" spans="3:15" ht="13.5">
      <c r="C1186" s="1861" t="s">
        <v>4976</v>
      </c>
      <c r="D1186" s="1858">
        <v>1</v>
      </c>
      <c r="E1186" s="1858">
        <v>0</v>
      </c>
      <c r="F1186" s="1859">
        <v>1</v>
      </c>
      <c r="G1186" s="1872" t="s">
        <v>4976</v>
      </c>
      <c r="H1186" s="1856">
        <v>1</v>
      </c>
      <c r="I1186" s="1856">
        <v>0</v>
      </c>
      <c r="J1186" s="1873">
        <v>1</v>
      </c>
      <c r="K1186" s="1860"/>
      <c r="L1186" s="1854">
        <v>13117130204</v>
      </c>
      <c r="M1186" s="1855">
        <v>1</v>
      </c>
      <c r="N1186" s="1855">
        <v>0</v>
      </c>
      <c r="O1186" s="1856">
        <v>1</v>
      </c>
    </row>
    <row r="1187" spans="3:15" ht="13.5">
      <c r="C1187" s="1861" t="s">
        <v>4977</v>
      </c>
      <c r="D1187" s="1858">
        <v>1</v>
      </c>
      <c r="E1187" s="1858">
        <v>1</v>
      </c>
      <c r="F1187" s="1859">
        <v>2</v>
      </c>
      <c r="G1187" s="1872" t="s">
        <v>4977</v>
      </c>
      <c r="H1187" s="1856">
        <v>1</v>
      </c>
      <c r="I1187" s="1856" t="s">
        <v>3909</v>
      </c>
      <c r="J1187" s="1873">
        <v>1</v>
      </c>
      <c r="K1187" s="1860"/>
      <c r="L1187" s="1854">
        <v>13117130205</v>
      </c>
      <c r="M1187" s="1855">
        <v>1</v>
      </c>
      <c r="N1187" s="1855">
        <v>1</v>
      </c>
      <c r="O1187" s="1856">
        <v>2</v>
      </c>
    </row>
    <row r="1188" spans="3:15" ht="13.5">
      <c r="C1188" s="1861" t="s">
        <v>4978</v>
      </c>
      <c r="D1188" s="1858">
        <v>1</v>
      </c>
      <c r="E1188" s="1858">
        <v>1</v>
      </c>
      <c r="F1188" s="1859">
        <v>2</v>
      </c>
      <c r="G1188" s="1872" t="s">
        <v>4978</v>
      </c>
      <c r="H1188" s="1856">
        <v>1</v>
      </c>
      <c r="I1188" s="1856">
        <v>1</v>
      </c>
      <c r="J1188" s="1873">
        <v>2</v>
      </c>
      <c r="K1188" s="1860"/>
      <c r="L1188" s="1854">
        <v>13117130301</v>
      </c>
      <c r="M1188" s="1855">
        <v>1</v>
      </c>
      <c r="N1188" s="1855">
        <v>1</v>
      </c>
      <c r="O1188" s="1856">
        <v>2</v>
      </c>
    </row>
    <row r="1189" spans="3:15" ht="13.5">
      <c r="C1189" s="1861" t="s">
        <v>4979</v>
      </c>
      <c r="D1189" s="1858">
        <v>1</v>
      </c>
      <c r="E1189" s="1858">
        <v>1</v>
      </c>
      <c r="F1189" s="1859">
        <v>2</v>
      </c>
      <c r="G1189" s="1872" t="s">
        <v>4979</v>
      </c>
      <c r="H1189" s="1856">
        <v>1</v>
      </c>
      <c r="I1189" s="1856">
        <v>1</v>
      </c>
      <c r="J1189" s="1873">
        <v>2</v>
      </c>
      <c r="K1189" s="1860"/>
      <c r="L1189" s="1854">
        <v>13117130302</v>
      </c>
      <c r="M1189" s="1855">
        <v>1</v>
      </c>
      <c r="N1189" s="1855">
        <v>1</v>
      </c>
      <c r="O1189" s="1856">
        <v>2</v>
      </c>
    </row>
    <row r="1190" spans="3:15" ht="13.5">
      <c r="C1190" s="1861" t="s">
        <v>4980</v>
      </c>
      <c r="D1190" s="1858">
        <v>1</v>
      </c>
      <c r="E1190" s="1858">
        <v>1</v>
      </c>
      <c r="F1190" s="1859">
        <v>2</v>
      </c>
      <c r="G1190" s="1872" t="s">
        <v>4980</v>
      </c>
      <c r="H1190" s="1856">
        <v>1</v>
      </c>
      <c r="I1190" s="1856">
        <v>1</v>
      </c>
      <c r="J1190" s="1873">
        <v>2</v>
      </c>
      <c r="K1190" s="1860"/>
      <c r="L1190" s="1854">
        <v>13117130303</v>
      </c>
      <c r="M1190" s="1855">
        <v>1</v>
      </c>
      <c r="N1190" s="1855">
        <v>1</v>
      </c>
      <c r="O1190" s="1856">
        <v>2</v>
      </c>
    </row>
    <row r="1191" spans="3:15" ht="13.5">
      <c r="C1191" s="1861" t="s">
        <v>4981</v>
      </c>
      <c r="D1191" s="1858">
        <v>1</v>
      </c>
      <c r="E1191" s="1858">
        <v>1</v>
      </c>
      <c r="F1191" s="1859">
        <v>2</v>
      </c>
      <c r="G1191" s="1872" t="s">
        <v>4981</v>
      </c>
      <c r="H1191" s="1856">
        <v>1</v>
      </c>
      <c r="I1191" s="1856">
        <v>1</v>
      </c>
      <c r="J1191" s="1873">
        <v>2</v>
      </c>
      <c r="K1191" s="1860"/>
      <c r="L1191" s="1854">
        <v>13117130304</v>
      </c>
      <c r="M1191" s="1855">
        <v>1</v>
      </c>
      <c r="N1191" s="1855">
        <v>1</v>
      </c>
      <c r="O1191" s="1856">
        <v>2</v>
      </c>
    </row>
    <row r="1192" spans="3:15" ht="13.5">
      <c r="C1192" s="1861" t="s">
        <v>4982</v>
      </c>
      <c r="D1192" s="1858">
        <v>1</v>
      </c>
      <c r="E1192" s="1858">
        <v>1</v>
      </c>
      <c r="F1192" s="1859">
        <v>2</v>
      </c>
      <c r="G1192" s="1872" t="s">
        <v>4982</v>
      </c>
      <c r="H1192" s="1856">
        <v>1</v>
      </c>
      <c r="I1192" s="1856">
        <v>1</v>
      </c>
      <c r="J1192" s="1873">
        <v>2</v>
      </c>
      <c r="K1192" s="1860"/>
      <c r="L1192" s="1854">
        <v>13117130305</v>
      </c>
      <c r="M1192" s="1855">
        <v>1</v>
      </c>
      <c r="N1192" s="1855">
        <v>1</v>
      </c>
      <c r="O1192" s="1856">
        <v>2</v>
      </c>
    </row>
    <row r="1193" spans="3:15" ht="13.5">
      <c r="C1193" s="1861" t="s">
        <v>4983</v>
      </c>
      <c r="D1193" s="1858">
        <v>1</v>
      </c>
      <c r="E1193" s="1858">
        <v>1</v>
      </c>
      <c r="F1193" s="1859">
        <v>2</v>
      </c>
      <c r="G1193" s="1872" t="s">
        <v>4983</v>
      </c>
      <c r="H1193" s="1856">
        <v>1</v>
      </c>
      <c r="I1193" s="1856">
        <v>1</v>
      </c>
      <c r="J1193" s="1873">
        <v>2</v>
      </c>
      <c r="K1193" s="1860"/>
      <c r="L1193" s="1854">
        <v>13117130306</v>
      </c>
      <c r="M1193" s="1855">
        <v>1</v>
      </c>
      <c r="N1193" s="1855">
        <v>1</v>
      </c>
      <c r="O1193" s="1856">
        <v>2</v>
      </c>
    </row>
    <row r="1194" spans="3:15" ht="13.5">
      <c r="C1194" s="1861" t="s">
        <v>4984</v>
      </c>
      <c r="D1194" s="1858">
        <v>1</v>
      </c>
      <c r="E1194" s="1858">
        <v>1</v>
      </c>
      <c r="F1194" s="1859">
        <v>2</v>
      </c>
      <c r="G1194" s="1872" t="s">
        <v>4984</v>
      </c>
      <c r="H1194" s="1856">
        <v>1</v>
      </c>
      <c r="I1194" s="1856">
        <v>1</v>
      </c>
      <c r="J1194" s="1873">
        <v>2</v>
      </c>
      <c r="K1194" s="1860"/>
      <c r="L1194" s="1854">
        <v>13117130307</v>
      </c>
      <c r="M1194" s="1855">
        <v>1</v>
      </c>
      <c r="N1194" s="1855">
        <v>1</v>
      </c>
      <c r="O1194" s="1856">
        <v>2</v>
      </c>
    </row>
    <row r="1195" spans="3:15" ht="13.5">
      <c r="C1195" s="1861" t="s">
        <v>4985</v>
      </c>
      <c r="D1195" s="1858">
        <v>1</v>
      </c>
      <c r="E1195" s="1858">
        <v>1</v>
      </c>
      <c r="F1195" s="1859">
        <v>2</v>
      </c>
      <c r="G1195" s="1872" t="s">
        <v>4985</v>
      </c>
      <c r="H1195" s="1856">
        <v>1</v>
      </c>
      <c r="I1195" s="1856">
        <v>1</v>
      </c>
      <c r="J1195" s="1873">
        <v>2</v>
      </c>
      <c r="K1195" s="1860"/>
      <c r="L1195" s="1854">
        <v>13117130403</v>
      </c>
      <c r="M1195" s="1855">
        <v>1</v>
      </c>
      <c r="N1195" s="1855">
        <v>1</v>
      </c>
      <c r="O1195" s="1856">
        <v>2</v>
      </c>
    </row>
    <row r="1196" spans="3:15" ht="13.5">
      <c r="C1196" s="1861" t="s">
        <v>4986</v>
      </c>
      <c r="D1196" s="1858">
        <v>1</v>
      </c>
      <c r="E1196" s="1858">
        <v>1</v>
      </c>
      <c r="F1196" s="1859">
        <v>2</v>
      </c>
      <c r="G1196" s="1872" t="s">
        <v>4986</v>
      </c>
      <c r="H1196" s="1856">
        <v>1</v>
      </c>
      <c r="I1196" s="1856">
        <v>1</v>
      </c>
      <c r="J1196" s="1873">
        <v>2</v>
      </c>
      <c r="K1196" s="1860"/>
      <c r="L1196" s="1854">
        <v>13117130404</v>
      </c>
      <c r="M1196" s="1855">
        <v>1</v>
      </c>
      <c r="N1196" s="1855">
        <v>1</v>
      </c>
      <c r="O1196" s="1856">
        <v>2</v>
      </c>
    </row>
    <row r="1197" spans="3:15" ht="13.5">
      <c r="C1197" s="1861" t="s">
        <v>4987</v>
      </c>
      <c r="D1197" s="1858">
        <v>1</v>
      </c>
      <c r="E1197" s="1858">
        <v>1</v>
      </c>
      <c r="F1197" s="1859">
        <v>2</v>
      </c>
      <c r="G1197" s="1872" t="s">
        <v>4987</v>
      </c>
      <c r="H1197" s="1856">
        <v>1</v>
      </c>
      <c r="I1197" s="1856">
        <v>1</v>
      </c>
      <c r="J1197" s="1873">
        <v>2</v>
      </c>
      <c r="K1197" s="1860"/>
      <c r="L1197" s="1854">
        <v>13117130405</v>
      </c>
      <c r="M1197" s="1855">
        <v>1</v>
      </c>
      <c r="N1197" s="1855">
        <v>1</v>
      </c>
      <c r="O1197" s="1856">
        <v>2</v>
      </c>
    </row>
    <row r="1198" spans="3:15" ht="13.5">
      <c r="C1198" s="1861" t="s">
        <v>4988</v>
      </c>
      <c r="D1198" s="1858">
        <v>1</v>
      </c>
      <c r="E1198" s="1858">
        <v>0</v>
      </c>
      <c r="F1198" s="1859">
        <v>1</v>
      </c>
      <c r="G1198" s="1872" t="s">
        <v>4988</v>
      </c>
      <c r="H1198" s="1856">
        <v>1</v>
      </c>
      <c r="I1198" s="1856">
        <v>0</v>
      </c>
      <c r="J1198" s="1873">
        <v>1</v>
      </c>
      <c r="K1198" s="1860"/>
      <c r="L1198" s="1854">
        <v>13117130406</v>
      </c>
      <c r="M1198" s="1855">
        <v>1</v>
      </c>
      <c r="N1198" s="1855">
        <v>0</v>
      </c>
      <c r="O1198" s="1856">
        <v>1</v>
      </c>
    </row>
    <row r="1199" spans="3:15" ht="13.5">
      <c r="C1199" s="1861" t="s">
        <v>4989</v>
      </c>
      <c r="D1199" s="1858">
        <v>1</v>
      </c>
      <c r="E1199" s="1858">
        <v>0</v>
      </c>
      <c r="F1199" s="1859">
        <v>1</v>
      </c>
      <c r="G1199" s="1872" t="s">
        <v>4989</v>
      </c>
      <c r="H1199" s="1856">
        <v>0</v>
      </c>
      <c r="I1199" s="1856">
        <v>0</v>
      </c>
      <c r="J1199" s="1873">
        <v>0</v>
      </c>
      <c r="K1199" s="1860"/>
      <c r="L1199" s="1854">
        <v>13117130408</v>
      </c>
      <c r="M1199" s="1855">
        <v>1</v>
      </c>
      <c r="N1199" s="1855">
        <v>0</v>
      </c>
      <c r="O1199" s="1856">
        <v>1</v>
      </c>
    </row>
    <row r="1200" spans="3:15" ht="13.5">
      <c r="C1200" s="1861" t="s">
        <v>4990</v>
      </c>
      <c r="D1200" s="1858">
        <v>1</v>
      </c>
      <c r="E1200" s="1858">
        <v>1</v>
      </c>
      <c r="F1200" s="1859">
        <v>2</v>
      </c>
      <c r="G1200" s="1872" t="s">
        <v>4990</v>
      </c>
      <c r="H1200" s="1856">
        <v>1</v>
      </c>
      <c r="I1200" s="1856">
        <v>0</v>
      </c>
      <c r="J1200" s="1873">
        <v>1</v>
      </c>
      <c r="K1200" s="1860"/>
      <c r="L1200" s="1854">
        <v>13117130409</v>
      </c>
      <c r="M1200" s="1855">
        <v>1</v>
      </c>
      <c r="N1200" s="1855">
        <v>1</v>
      </c>
      <c r="O1200" s="1856">
        <v>2</v>
      </c>
    </row>
    <row r="1201" spans="3:15" ht="13.5">
      <c r="C1201" s="1861" t="s">
        <v>4991</v>
      </c>
      <c r="D1201" s="1858">
        <v>1</v>
      </c>
      <c r="E1201" s="1858">
        <v>1</v>
      </c>
      <c r="F1201" s="1859">
        <v>2</v>
      </c>
      <c r="G1201" s="1872" t="s">
        <v>4991</v>
      </c>
      <c r="H1201" s="1856">
        <v>1</v>
      </c>
      <c r="I1201" s="1856">
        <v>1</v>
      </c>
      <c r="J1201" s="1873">
        <v>1</v>
      </c>
      <c r="K1201" s="1860"/>
      <c r="L1201" s="1854">
        <v>13117130410</v>
      </c>
      <c r="M1201" s="1855">
        <v>1</v>
      </c>
      <c r="N1201" s="1855">
        <v>1</v>
      </c>
      <c r="O1201" s="1856">
        <v>2</v>
      </c>
    </row>
    <row r="1202" spans="3:15" ht="13.5">
      <c r="C1202" s="1861" t="s">
        <v>4992</v>
      </c>
      <c r="D1202" s="1858">
        <v>1</v>
      </c>
      <c r="E1202" s="1858">
        <v>1</v>
      </c>
      <c r="F1202" s="1859">
        <v>2</v>
      </c>
      <c r="G1202" s="1872" t="s">
        <v>4992</v>
      </c>
      <c r="H1202" s="1856">
        <v>1</v>
      </c>
      <c r="I1202" s="1856">
        <v>0</v>
      </c>
      <c r="J1202" s="1873">
        <v>1</v>
      </c>
      <c r="K1202" s="1860"/>
      <c r="L1202" s="1854">
        <v>13117130503</v>
      </c>
      <c r="M1202" s="1855">
        <v>1</v>
      </c>
      <c r="N1202" s="1855">
        <v>1</v>
      </c>
      <c r="O1202" s="1856">
        <v>2</v>
      </c>
    </row>
    <row r="1203" spans="3:15" ht="13.5">
      <c r="C1203" s="1861" t="s">
        <v>4993</v>
      </c>
      <c r="D1203" s="1858">
        <v>1</v>
      </c>
      <c r="E1203" s="1858">
        <v>1</v>
      </c>
      <c r="F1203" s="1859">
        <v>2</v>
      </c>
      <c r="G1203" s="1872" t="s">
        <v>4993</v>
      </c>
      <c r="H1203" s="1856">
        <v>1</v>
      </c>
      <c r="I1203" s="1856">
        <v>0</v>
      </c>
      <c r="J1203" s="1873">
        <v>1</v>
      </c>
      <c r="K1203" s="1860"/>
      <c r="L1203" s="1854">
        <v>13117130504</v>
      </c>
      <c r="M1203" s="1855">
        <v>1</v>
      </c>
      <c r="N1203" s="1855">
        <v>1</v>
      </c>
      <c r="O1203" s="1856">
        <v>2</v>
      </c>
    </row>
    <row r="1204" spans="3:15" ht="13.5">
      <c r="C1204" s="1861" t="s">
        <v>4994</v>
      </c>
      <c r="D1204" s="1858">
        <v>1</v>
      </c>
      <c r="E1204" s="1858">
        <v>1</v>
      </c>
      <c r="F1204" s="1859">
        <v>2</v>
      </c>
      <c r="G1204" s="1872" t="s">
        <v>4994</v>
      </c>
      <c r="H1204" s="1856">
        <v>1</v>
      </c>
      <c r="I1204" s="1856" t="s">
        <v>3909</v>
      </c>
      <c r="J1204" s="1873">
        <v>1</v>
      </c>
      <c r="K1204" s="1860"/>
      <c r="L1204" s="1854">
        <v>13117130505</v>
      </c>
      <c r="M1204" s="1855">
        <v>1</v>
      </c>
      <c r="N1204" s="1855">
        <v>1</v>
      </c>
      <c r="O1204" s="1856">
        <v>2</v>
      </c>
    </row>
    <row r="1205" spans="3:15" ht="13.5">
      <c r="C1205" s="1861" t="s">
        <v>4995</v>
      </c>
      <c r="D1205" s="1858">
        <v>1</v>
      </c>
      <c r="E1205" s="1858">
        <v>1</v>
      </c>
      <c r="F1205" s="1859">
        <v>2</v>
      </c>
      <c r="G1205" s="1872" t="s">
        <v>4995</v>
      </c>
      <c r="H1205" s="1856">
        <v>1</v>
      </c>
      <c r="I1205" s="1856">
        <v>1</v>
      </c>
      <c r="J1205" s="1873">
        <v>2</v>
      </c>
      <c r="K1205" s="1860"/>
      <c r="L1205" s="1854">
        <v>13117130506</v>
      </c>
      <c r="M1205" s="1855">
        <v>1</v>
      </c>
      <c r="N1205" s="1855">
        <v>1</v>
      </c>
      <c r="O1205" s="1856">
        <v>2</v>
      </c>
    </row>
    <row r="1206" spans="3:15" ht="13.5">
      <c r="C1206" s="1861" t="s">
        <v>4996</v>
      </c>
      <c r="D1206" s="1858">
        <v>1</v>
      </c>
      <c r="E1206" s="1858">
        <v>1</v>
      </c>
      <c r="F1206" s="1859">
        <v>2</v>
      </c>
      <c r="G1206" s="1872" t="s">
        <v>4996</v>
      </c>
      <c r="H1206" s="1856">
        <v>1</v>
      </c>
      <c r="I1206" s="1856">
        <v>1</v>
      </c>
      <c r="J1206" s="1873">
        <v>2</v>
      </c>
      <c r="K1206" s="1860"/>
      <c r="L1206" s="1854">
        <v>13117130507</v>
      </c>
      <c r="M1206" s="1855">
        <v>1</v>
      </c>
      <c r="N1206" s="1855">
        <v>1</v>
      </c>
      <c r="O1206" s="1856">
        <v>2</v>
      </c>
    </row>
    <row r="1207" spans="3:15" ht="13.5">
      <c r="C1207" s="1861" t="s">
        <v>4997</v>
      </c>
      <c r="D1207" s="1858">
        <v>1</v>
      </c>
      <c r="E1207" s="1858">
        <v>1</v>
      </c>
      <c r="F1207" s="1859">
        <v>2</v>
      </c>
      <c r="G1207" s="1872" t="s">
        <v>4997</v>
      </c>
      <c r="H1207" s="1856">
        <v>1</v>
      </c>
      <c r="I1207" s="1856">
        <v>1</v>
      </c>
      <c r="J1207" s="1873">
        <v>2</v>
      </c>
      <c r="K1207" s="1860"/>
      <c r="L1207" s="1854">
        <v>13117130508</v>
      </c>
      <c r="M1207" s="1855">
        <v>1</v>
      </c>
      <c r="N1207" s="1855">
        <v>1</v>
      </c>
      <c r="O1207" s="1856">
        <v>2</v>
      </c>
    </row>
    <row r="1208" spans="3:15" ht="13.5">
      <c r="C1208" s="1861" t="s">
        <v>4998</v>
      </c>
      <c r="D1208" s="1858">
        <v>1</v>
      </c>
      <c r="E1208" s="1858">
        <v>1</v>
      </c>
      <c r="F1208" s="1859">
        <v>2</v>
      </c>
      <c r="G1208" s="1872" t="s">
        <v>4998</v>
      </c>
      <c r="H1208" s="1856">
        <v>1</v>
      </c>
      <c r="I1208" s="1856">
        <v>1</v>
      </c>
      <c r="J1208" s="1873">
        <v>2</v>
      </c>
      <c r="K1208" s="1860"/>
      <c r="L1208" s="1854">
        <v>13117130509</v>
      </c>
      <c r="M1208" s="1855">
        <v>1</v>
      </c>
      <c r="N1208" s="1855">
        <v>1</v>
      </c>
      <c r="O1208" s="1856">
        <v>2</v>
      </c>
    </row>
    <row r="1209" spans="3:15" ht="13.5">
      <c r="C1209" s="1861" t="s">
        <v>4999</v>
      </c>
      <c r="D1209" s="1858">
        <v>1</v>
      </c>
      <c r="E1209" s="1858">
        <v>1</v>
      </c>
      <c r="F1209" s="1859">
        <v>2</v>
      </c>
      <c r="G1209" s="1872" t="s">
        <v>4999</v>
      </c>
      <c r="H1209" s="1856">
        <v>1</v>
      </c>
      <c r="I1209" s="1856">
        <v>1</v>
      </c>
      <c r="J1209" s="1873">
        <v>2</v>
      </c>
      <c r="K1209" s="1860"/>
      <c r="L1209" s="1854">
        <v>13117130510</v>
      </c>
      <c r="M1209" s="1855">
        <v>1</v>
      </c>
      <c r="N1209" s="1855">
        <v>1</v>
      </c>
      <c r="O1209" s="1856">
        <v>2</v>
      </c>
    </row>
    <row r="1210" spans="3:15" ht="13.5">
      <c r="C1210" s="1861" t="s">
        <v>5000</v>
      </c>
      <c r="D1210" s="1858">
        <v>1</v>
      </c>
      <c r="E1210" s="1858">
        <v>1</v>
      </c>
      <c r="F1210" s="1859">
        <v>2</v>
      </c>
      <c r="G1210" s="1872" t="s">
        <v>5000</v>
      </c>
      <c r="H1210" s="1856">
        <v>1</v>
      </c>
      <c r="I1210" s="1856">
        <v>1</v>
      </c>
      <c r="J1210" s="1873">
        <v>2</v>
      </c>
      <c r="K1210" s="1860"/>
      <c r="L1210" s="1854">
        <v>13117130601</v>
      </c>
      <c r="M1210" s="1855">
        <v>1</v>
      </c>
      <c r="N1210" s="1855">
        <v>1</v>
      </c>
      <c r="O1210" s="1856">
        <v>2</v>
      </c>
    </row>
    <row r="1211" spans="3:15" ht="13.5">
      <c r="C1211" s="1861" t="s">
        <v>5001</v>
      </c>
      <c r="D1211" s="1858">
        <v>1</v>
      </c>
      <c r="E1211" s="1858">
        <v>1</v>
      </c>
      <c r="F1211" s="1859">
        <v>2</v>
      </c>
      <c r="G1211" s="1872" t="s">
        <v>5001</v>
      </c>
      <c r="H1211" s="1856">
        <v>1</v>
      </c>
      <c r="I1211" s="1856">
        <v>0</v>
      </c>
      <c r="J1211" s="1873">
        <v>1</v>
      </c>
      <c r="K1211" s="1860"/>
      <c r="L1211" s="1854">
        <v>13117130602</v>
      </c>
      <c r="M1211" s="1855">
        <v>1</v>
      </c>
      <c r="N1211" s="1855">
        <v>1</v>
      </c>
      <c r="O1211" s="1856">
        <v>2</v>
      </c>
    </row>
    <row r="1212" spans="3:15" ht="13.5">
      <c r="C1212" s="1861" t="s">
        <v>5002</v>
      </c>
      <c r="D1212" s="1858">
        <v>1</v>
      </c>
      <c r="E1212" s="1858">
        <v>1</v>
      </c>
      <c r="F1212" s="1859">
        <v>2</v>
      </c>
      <c r="G1212" s="1872" t="s">
        <v>5002</v>
      </c>
      <c r="H1212" s="1856">
        <v>1</v>
      </c>
      <c r="I1212" s="1856" t="s">
        <v>3909</v>
      </c>
      <c r="J1212" s="1873">
        <v>1</v>
      </c>
      <c r="K1212" s="1860"/>
      <c r="L1212" s="1854">
        <v>13117130603</v>
      </c>
      <c r="M1212" s="1855">
        <v>1</v>
      </c>
      <c r="N1212" s="1855">
        <v>1</v>
      </c>
      <c r="O1212" s="1856">
        <v>2</v>
      </c>
    </row>
    <row r="1213" spans="3:15" ht="13.5">
      <c r="C1213" s="1861" t="s">
        <v>5003</v>
      </c>
      <c r="D1213" s="1858">
        <v>1</v>
      </c>
      <c r="E1213" s="1858">
        <v>1</v>
      </c>
      <c r="F1213" s="1859">
        <v>2</v>
      </c>
      <c r="G1213" s="1872" t="s">
        <v>5003</v>
      </c>
      <c r="H1213" s="1856">
        <v>1</v>
      </c>
      <c r="I1213" s="1856">
        <v>1</v>
      </c>
      <c r="J1213" s="1873">
        <v>2</v>
      </c>
      <c r="K1213" s="1860"/>
      <c r="L1213" s="1854">
        <v>13117130604</v>
      </c>
      <c r="M1213" s="1855">
        <v>1</v>
      </c>
      <c r="N1213" s="1855">
        <v>1</v>
      </c>
      <c r="O1213" s="1856">
        <v>2</v>
      </c>
    </row>
    <row r="1214" spans="3:15" ht="13.5">
      <c r="C1214" s="1861" t="s">
        <v>5004</v>
      </c>
      <c r="D1214" s="1858">
        <v>1</v>
      </c>
      <c r="E1214" s="1858">
        <v>1</v>
      </c>
      <c r="F1214" s="1859">
        <v>2</v>
      </c>
      <c r="G1214" s="1872" t="s">
        <v>5004</v>
      </c>
      <c r="H1214" s="1856">
        <v>1</v>
      </c>
      <c r="I1214" s="1856">
        <v>1</v>
      </c>
      <c r="J1214" s="1873">
        <v>2</v>
      </c>
      <c r="K1214" s="1860"/>
      <c r="L1214" s="1854">
        <v>13117130605</v>
      </c>
      <c r="M1214" s="1855">
        <v>1</v>
      </c>
      <c r="N1214" s="1855">
        <v>1</v>
      </c>
      <c r="O1214" s="1856">
        <v>2</v>
      </c>
    </row>
    <row r="1215" spans="3:15" ht="13.5">
      <c r="C1215" s="1861" t="s">
        <v>5005</v>
      </c>
      <c r="D1215" s="1858">
        <v>1</v>
      </c>
      <c r="E1215" s="1858">
        <v>1</v>
      </c>
      <c r="F1215" s="1859">
        <v>2</v>
      </c>
      <c r="G1215" s="1872" t="s">
        <v>5005</v>
      </c>
      <c r="H1215" s="1856">
        <v>1</v>
      </c>
      <c r="I1215" s="1856">
        <v>1</v>
      </c>
      <c r="J1215" s="1873">
        <v>2</v>
      </c>
      <c r="K1215" s="1860"/>
      <c r="L1215" s="1854">
        <v>13117130606</v>
      </c>
      <c r="M1215" s="1855">
        <v>1</v>
      </c>
      <c r="N1215" s="1855">
        <v>1</v>
      </c>
      <c r="O1215" s="1856">
        <v>2</v>
      </c>
    </row>
    <row r="1216" spans="3:15" ht="13.5">
      <c r="C1216" s="1861" t="s">
        <v>5006</v>
      </c>
      <c r="D1216" s="1858">
        <v>1</v>
      </c>
      <c r="E1216" s="1858">
        <v>1</v>
      </c>
      <c r="F1216" s="1859">
        <v>2</v>
      </c>
      <c r="G1216" s="1872" t="s">
        <v>5006</v>
      </c>
      <c r="H1216" s="1856">
        <v>1</v>
      </c>
      <c r="I1216" s="1856">
        <v>1</v>
      </c>
      <c r="J1216" s="1873">
        <v>2</v>
      </c>
      <c r="K1216" s="1860"/>
      <c r="L1216" s="1854">
        <v>13117130607</v>
      </c>
      <c r="M1216" s="1855">
        <v>1</v>
      </c>
      <c r="N1216" s="1855">
        <v>1</v>
      </c>
      <c r="O1216" s="1856">
        <v>2</v>
      </c>
    </row>
    <row r="1217" spans="3:15" ht="13.5">
      <c r="C1217" s="1861" t="s">
        <v>5007</v>
      </c>
      <c r="D1217" s="1858">
        <v>1</v>
      </c>
      <c r="E1217" s="1858">
        <v>1</v>
      </c>
      <c r="F1217" s="1859">
        <v>2</v>
      </c>
      <c r="G1217" s="1872" t="s">
        <v>5007</v>
      </c>
      <c r="H1217" s="1856">
        <v>1</v>
      </c>
      <c r="I1217" s="1856">
        <v>1</v>
      </c>
      <c r="J1217" s="1873">
        <v>2</v>
      </c>
      <c r="K1217" s="1860"/>
      <c r="L1217" s="1854">
        <v>13117130608</v>
      </c>
      <c r="M1217" s="1855">
        <v>1</v>
      </c>
      <c r="N1217" s="1855">
        <v>1</v>
      </c>
      <c r="O1217" s="1856">
        <v>2</v>
      </c>
    </row>
    <row r="1218" spans="3:15" ht="13.5">
      <c r="C1218" s="1861" t="s">
        <v>5008</v>
      </c>
      <c r="D1218" s="1858">
        <v>1</v>
      </c>
      <c r="E1218" s="1858">
        <v>1</v>
      </c>
      <c r="F1218" s="1859">
        <v>2</v>
      </c>
      <c r="G1218" s="1872" t="s">
        <v>5008</v>
      </c>
      <c r="H1218" s="1856">
        <v>1</v>
      </c>
      <c r="I1218" s="1856">
        <v>1</v>
      </c>
      <c r="J1218" s="1873">
        <v>2</v>
      </c>
      <c r="K1218" s="1860"/>
      <c r="L1218" s="1854">
        <v>13117130609</v>
      </c>
      <c r="M1218" s="1855">
        <v>1</v>
      </c>
      <c r="N1218" s="1855">
        <v>1</v>
      </c>
      <c r="O1218" s="1856">
        <v>2</v>
      </c>
    </row>
    <row r="1219" spans="3:15" ht="13.5">
      <c r="C1219" s="1861" t="s">
        <v>5009</v>
      </c>
      <c r="D1219" s="1858">
        <v>1</v>
      </c>
      <c r="E1219" s="1858">
        <v>1</v>
      </c>
      <c r="F1219" s="1859">
        <v>2</v>
      </c>
      <c r="G1219" s="1872" t="s">
        <v>5009</v>
      </c>
      <c r="H1219" s="1856">
        <v>1</v>
      </c>
      <c r="I1219" s="1856">
        <v>1</v>
      </c>
      <c r="J1219" s="1873">
        <v>2</v>
      </c>
      <c r="K1219" s="1860"/>
      <c r="L1219" s="1854">
        <v>13117130610</v>
      </c>
      <c r="M1219" s="1855">
        <v>1</v>
      </c>
      <c r="N1219" s="1855">
        <v>1</v>
      </c>
      <c r="O1219" s="1856">
        <v>2</v>
      </c>
    </row>
    <row r="1220" spans="3:15" ht="13.5">
      <c r="C1220" s="1861" t="s">
        <v>5010</v>
      </c>
      <c r="D1220" s="1858">
        <v>1</v>
      </c>
      <c r="E1220" s="1858">
        <v>1</v>
      </c>
      <c r="F1220" s="1859">
        <v>2</v>
      </c>
      <c r="G1220" s="1872" t="s">
        <v>5010</v>
      </c>
      <c r="H1220" s="1856">
        <v>1</v>
      </c>
      <c r="I1220" s="1856">
        <v>1</v>
      </c>
      <c r="J1220" s="1873">
        <v>2</v>
      </c>
      <c r="K1220" s="1860"/>
      <c r="L1220" s="1854">
        <v>13117130611</v>
      </c>
      <c r="M1220" s="1855">
        <v>1</v>
      </c>
      <c r="N1220" s="1855">
        <v>1</v>
      </c>
      <c r="O1220" s="1856">
        <v>2</v>
      </c>
    </row>
    <row r="1221" spans="3:15" ht="13.5">
      <c r="C1221" s="1861" t="s">
        <v>5011</v>
      </c>
      <c r="D1221" s="1858">
        <v>1</v>
      </c>
      <c r="E1221" s="1858">
        <v>1</v>
      </c>
      <c r="F1221" s="1859">
        <v>2</v>
      </c>
      <c r="G1221" s="1872" t="s">
        <v>5011</v>
      </c>
      <c r="H1221" s="1856">
        <v>1</v>
      </c>
      <c r="I1221" s="1856">
        <v>1</v>
      </c>
      <c r="J1221" s="1873">
        <v>2</v>
      </c>
      <c r="K1221" s="1860"/>
      <c r="L1221" s="1854">
        <v>13117130612</v>
      </c>
      <c r="M1221" s="1855">
        <v>1</v>
      </c>
      <c r="N1221" s="1855">
        <v>1</v>
      </c>
      <c r="O1221" s="1856">
        <v>2</v>
      </c>
    </row>
    <row r="1222" spans="3:15" ht="13.5">
      <c r="C1222" s="1861" t="s">
        <v>5012</v>
      </c>
      <c r="D1222" s="1858">
        <v>1</v>
      </c>
      <c r="E1222" s="1858">
        <v>1</v>
      </c>
      <c r="F1222" s="1859">
        <v>2</v>
      </c>
      <c r="G1222" s="1872" t="s">
        <v>5012</v>
      </c>
      <c r="H1222" s="1856">
        <v>1</v>
      </c>
      <c r="I1222" s="1856" t="s">
        <v>3909</v>
      </c>
      <c r="J1222" s="1873">
        <v>1</v>
      </c>
      <c r="K1222" s="1860"/>
      <c r="L1222" s="1854">
        <v>13117130613</v>
      </c>
      <c r="M1222" s="1855">
        <v>1</v>
      </c>
      <c r="N1222" s="1855">
        <v>1</v>
      </c>
      <c r="O1222" s="1856">
        <v>2</v>
      </c>
    </row>
    <row r="1223" spans="3:15" ht="13.5">
      <c r="C1223" s="1861" t="s">
        <v>5013</v>
      </c>
      <c r="D1223" s="1858">
        <v>0</v>
      </c>
      <c r="E1223" s="1858">
        <v>0</v>
      </c>
      <c r="F1223" s="1859">
        <v>0</v>
      </c>
      <c r="G1223" s="1872" t="s">
        <v>5013</v>
      </c>
      <c r="H1223" s="1856">
        <v>0</v>
      </c>
      <c r="I1223" s="1856">
        <v>0</v>
      </c>
      <c r="J1223" s="1873">
        <v>0</v>
      </c>
      <c r="K1223" s="1860"/>
      <c r="L1223" s="1854">
        <v>13119890101</v>
      </c>
      <c r="M1223" s="1855">
        <v>0</v>
      </c>
      <c r="N1223" s="1855">
        <v>0</v>
      </c>
      <c r="O1223" s="1856">
        <v>0</v>
      </c>
    </row>
    <row r="1224" spans="3:15" ht="13.5">
      <c r="C1224" s="1861" t="s">
        <v>5014</v>
      </c>
      <c r="D1224" s="1858">
        <v>0</v>
      </c>
      <c r="E1224" s="1858">
        <v>1</v>
      </c>
      <c r="F1224" s="1859">
        <v>1</v>
      </c>
      <c r="G1224" s="1872" t="s">
        <v>5014</v>
      </c>
      <c r="H1224" s="1856">
        <v>0</v>
      </c>
      <c r="I1224" s="1856">
        <v>0</v>
      </c>
      <c r="J1224" s="1873">
        <v>0</v>
      </c>
      <c r="K1224" s="1860"/>
      <c r="L1224" s="1854">
        <v>13119890102</v>
      </c>
      <c r="M1224" s="1855">
        <v>0</v>
      </c>
      <c r="N1224" s="1855">
        <v>1</v>
      </c>
      <c r="O1224" s="1856">
        <v>1</v>
      </c>
    </row>
    <row r="1225" spans="3:15" ht="13.5">
      <c r="C1225" s="1861" t="s">
        <v>5015</v>
      </c>
      <c r="D1225" s="1858">
        <v>0</v>
      </c>
      <c r="E1225" s="1858">
        <v>0</v>
      </c>
      <c r="F1225" s="1859">
        <v>0</v>
      </c>
      <c r="G1225" s="1872" t="s">
        <v>5015</v>
      </c>
      <c r="H1225" s="1856">
        <v>0</v>
      </c>
      <c r="I1225" s="1856">
        <v>0</v>
      </c>
      <c r="J1225" s="1873">
        <v>0</v>
      </c>
      <c r="K1225" s="1860"/>
      <c r="L1225" s="1854">
        <v>13119890200</v>
      </c>
      <c r="M1225" s="1855">
        <v>0</v>
      </c>
      <c r="N1225" s="1855">
        <v>0</v>
      </c>
      <c r="O1225" s="1856">
        <v>0</v>
      </c>
    </row>
    <row r="1226" spans="3:15" ht="13.5">
      <c r="C1226" s="1861" t="s">
        <v>5016</v>
      </c>
      <c r="D1226" s="1858">
        <v>0</v>
      </c>
      <c r="E1226" s="1858">
        <v>0</v>
      </c>
      <c r="F1226" s="1859">
        <v>0</v>
      </c>
      <c r="G1226" s="1872" t="s">
        <v>5016</v>
      </c>
      <c r="H1226" s="1856">
        <v>0</v>
      </c>
      <c r="I1226" s="1856">
        <v>0</v>
      </c>
      <c r="J1226" s="1873">
        <v>0</v>
      </c>
      <c r="K1226" s="1860"/>
      <c r="L1226" s="1854">
        <v>13119890300</v>
      </c>
      <c r="M1226" s="1855">
        <v>0</v>
      </c>
      <c r="N1226" s="1855">
        <v>0</v>
      </c>
      <c r="O1226" s="1856">
        <v>0</v>
      </c>
    </row>
    <row r="1227" spans="3:15" ht="13.5">
      <c r="C1227" s="1861" t="s">
        <v>5017</v>
      </c>
      <c r="D1227" s="1858">
        <v>0</v>
      </c>
      <c r="E1227" s="1858">
        <v>0</v>
      </c>
      <c r="F1227" s="1859">
        <v>0</v>
      </c>
      <c r="G1227" s="1872" t="s">
        <v>5017</v>
      </c>
      <c r="H1227" s="1856">
        <v>0</v>
      </c>
      <c r="I1227" s="1856">
        <v>0</v>
      </c>
      <c r="J1227" s="1873">
        <v>0</v>
      </c>
      <c r="K1227" s="1860"/>
      <c r="L1227" s="1854">
        <v>13119890400</v>
      </c>
      <c r="M1227" s="1855">
        <v>0</v>
      </c>
      <c r="N1227" s="1855">
        <v>0</v>
      </c>
      <c r="O1227" s="1856">
        <v>0</v>
      </c>
    </row>
    <row r="1228" spans="3:15" ht="13.5">
      <c r="C1228" s="1861" t="s">
        <v>5018</v>
      </c>
      <c r="D1228" s="1858">
        <v>1</v>
      </c>
      <c r="E1228" s="1858">
        <v>1</v>
      </c>
      <c r="F1228" s="1859">
        <v>2</v>
      </c>
      <c r="G1228" s="1872" t="s">
        <v>5018</v>
      </c>
      <c r="H1228" s="1856">
        <v>1</v>
      </c>
      <c r="I1228" s="1856">
        <v>1</v>
      </c>
      <c r="J1228" s="1873">
        <v>2</v>
      </c>
      <c r="K1228" s="1860"/>
      <c r="L1228" s="1854">
        <v>13121000100</v>
      </c>
      <c r="M1228" s="1855">
        <v>1</v>
      </c>
      <c r="N1228" s="1855">
        <v>1</v>
      </c>
      <c r="O1228" s="1856">
        <v>2</v>
      </c>
    </row>
    <row r="1229" spans="3:15" ht="13.5">
      <c r="C1229" s="1861" t="s">
        <v>5019</v>
      </c>
      <c r="D1229" s="1858">
        <v>1</v>
      </c>
      <c r="E1229" s="1858">
        <v>1</v>
      </c>
      <c r="F1229" s="1859">
        <v>2</v>
      </c>
      <c r="G1229" s="1872" t="s">
        <v>5019</v>
      </c>
      <c r="H1229" s="1856">
        <v>1</v>
      </c>
      <c r="I1229" s="1856">
        <v>1</v>
      </c>
      <c r="J1229" s="1873">
        <v>2</v>
      </c>
      <c r="K1229" s="1860"/>
      <c r="L1229" s="1854">
        <v>13121000200</v>
      </c>
      <c r="M1229" s="1855">
        <v>1</v>
      </c>
      <c r="N1229" s="1855">
        <v>1</v>
      </c>
      <c r="O1229" s="1856">
        <v>2</v>
      </c>
    </row>
    <row r="1230" spans="3:15" ht="13.5">
      <c r="C1230" s="1861" t="s">
        <v>5020</v>
      </c>
      <c r="D1230" s="1858">
        <v>1</v>
      </c>
      <c r="E1230" s="1858">
        <v>1</v>
      </c>
      <c r="F1230" s="1859">
        <v>2</v>
      </c>
      <c r="G1230" s="1872" t="s">
        <v>5020</v>
      </c>
      <c r="H1230" s="1856">
        <v>1</v>
      </c>
      <c r="I1230" s="1856">
        <v>1</v>
      </c>
      <c r="J1230" s="1873">
        <v>2</v>
      </c>
      <c r="K1230" s="1860"/>
      <c r="L1230" s="1854">
        <v>13121000400</v>
      </c>
      <c r="M1230" s="1855">
        <v>1</v>
      </c>
      <c r="N1230" s="1855">
        <v>1</v>
      </c>
      <c r="O1230" s="1856">
        <v>2</v>
      </c>
    </row>
    <row r="1231" spans="3:15" ht="13.5">
      <c r="C1231" s="1861" t="s">
        <v>5021</v>
      </c>
      <c r="D1231" s="1858">
        <v>1</v>
      </c>
      <c r="E1231" s="1858">
        <v>1</v>
      </c>
      <c r="F1231" s="1859">
        <v>2</v>
      </c>
      <c r="G1231" s="1872" t="s">
        <v>5021</v>
      </c>
      <c r="H1231" s="1856">
        <v>1</v>
      </c>
      <c r="I1231" s="1856" t="s">
        <v>3909</v>
      </c>
      <c r="J1231" s="1873">
        <v>1</v>
      </c>
      <c r="K1231" s="1860"/>
      <c r="L1231" s="1854">
        <v>13121000500</v>
      </c>
      <c r="M1231" s="1855">
        <v>1</v>
      </c>
      <c r="N1231" s="1855">
        <v>1</v>
      </c>
      <c r="O1231" s="1856">
        <v>2</v>
      </c>
    </row>
    <row r="1232" spans="3:15" ht="13.5">
      <c r="C1232" s="1861" t="s">
        <v>5022</v>
      </c>
      <c r="D1232" s="1858">
        <v>0</v>
      </c>
      <c r="E1232" s="1858">
        <v>1</v>
      </c>
      <c r="F1232" s="1859">
        <v>1</v>
      </c>
      <c r="G1232" s="1872" t="s">
        <v>5022</v>
      </c>
      <c r="H1232" s="1856">
        <v>0</v>
      </c>
      <c r="I1232" s="1856" t="s">
        <v>3909</v>
      </c>
      <c r="J1232" s="1873">
        <v>0</v>
      </c>
      <c r="K1232" s="1860"/>
      <c r="L1232" s="1854">
        <v>13121000600</v>
      </c>
      <c r="M1232" s="1855">
        <v>0</v>
      </c>
      <c r="N1232" s="1855">
        <v>1</v>
      </c>
      <c r="O1232" s="1856">
        <v>1</v>
      </c>
    </row>
    <row r="1233" spans="3:15" ht="13.5">
      <c r="C1233" s="1861" t="s">
        <v>5023</v>
      </c>
      <c r="D1233" s="1858">
        <v>0</v>
      </c>
      <c r="E1233" s="1858">
        <v>0</v>
      </c>
      <c r="F1233" s="1859">
        <v>0</v>
      </c>
      <c r="G1233" s="1872" t="s">
        <v>5023</v>
      </c>
      <c r="H1233" s="1856">
        <v>0</v>
      </c>
      <c r="I1233" s="1856" t="s">
        <v>3909</v>
      </c>
      <c r="J1233" s="1873">
        <v>0</v>
      </c>
      <c r="K1233" s="1860"/>
      <c r="L1233" s="1854">
        <v>13121000700</v>
      </c>
      <c r="M1233" s="1855">
        <v>0</v>
      </c>
      <c r="N1233" s="1855">
        <v>0</v>
      </c>
      <c r="O1233" s="1856">
        <v>0</v>
      </c>
    </row>
    <row r="1234" spans="3:15" ht="13.5">
      <c r="C1234" s="1861" t="s">
        <v>5024</v>
      </c>
      <c r="D1234" s="1858">
        <v>1</v>
      </c>
      <c r="E1234" s="1858">
        <v>1</v>
      </c>
      <c r="F1234" s="1859">
        <v>2</v>
      </c>
      <c r="G1234" s="1872" t="s">
        <v>5024</v>
      </c>
      <c r="H1234" s="1856">
        <v>1</v>
      </c>
      <c r="I1234" s="1856" t="s">
        <v>3909</v>
      </c>
      <c r="J1234" s="1873">
        <v>1</v>
      </c>
      <c r="K1234" s="1860"/>
      <c r="L1234" s="1854">
        <v>13121001001</v>
      </c>
      <c r="M1234" s="1855">
        <v>1</v>
      </c>
      <c r="N1234" s="1855">
        <v>1</v>
      </c>
      <c r="O1234" s="1856">
        <v>2</v>
      </c>
    </row>
    <row r="1235" spans="3:15" ht="13.5">
      <c r="C1235" s="1861" t="s">
        <v>5025</v>
      </c>
      <c r="D1235" s="1858">
        <v>0</v>
      </c>
      <c r="E1235" s="1858">
        <v>1</v>
      </c>
      <c r="F1235" s="1859">
        <v>1</v>
      </c>
      <c r="G1235" s="1872" t="s">
        <v>5025</v>
      </c>
      <c r="H1235" s="1856">
        <v>0</v>
      </c>
      <c r="I1235" s="1856" t="s">
        <v>3909</v>
      </c>
      <c r="J1235" s="1873">
        <v>0</v>
      </c>
      <c r="K1235" s="1860"/>
      <c r="L1235" s="1854">
        <v>13121001002</v>
      </c>
      <c r="M1235" s="1855">
        <v>0</v>
      </c>
      <c r="N1235" s="1855">
        <v>1</v>
      </c>
      <c r="O1235" s="1856">
        <v>1</v>
      </c>
    </row>
    <row r="1236" spans="3:15" ht="13.5">
      <c r="C1236" s="1861" t="s">
        <v>5026</v>
      </c>
      <c r="D1236" s="1858">
        <v>1</v>
      </c>
      <c r="E1236" s="1858">
        <v>1</v>
      </c>
      <c r="F1236" s="1859">
        <v>2</v>
      </c>
      <c r="G1236" s="1872" t="s">
        <v>5026</v>
      </c>
      <c r="H1236" s="1856">
        <v>1</v>
      </c>
      <c r="I1236" s="1856" t="s">
        <v>3909</v>
      </c>
      <c r="J1236" s="1873">
        <v>1</v>
      </c>
      <c r="K1236" s="1860"/>
      <c r="L1236" s="1854">
        <v>13121001100</v>
      </c>
      <c r="M1236" s="1855">
        <v>1</v>
      </c>
      <c r="N1236" s="1855">
        <v>1</v>
      </c>
      <c r="O1236" s="1856">
        <v>2</v>
      </c>
    </row>
    <row r="1237" spans="3:15" ht="13.5">
      <c r="C1237" s="1861" t="s">
        <v>5027</v>
      </c>
      <c r="D1237" s="1858">
        <v>1</v>
      </c>
      <c r="E1237" s="1858">
        <v>1</v>
      </c>
      <c r="F1237" s="1859">
        <v>2</v>
      </c>
      <c r="G1237" s="1872" t="s">
        <v>5027</v>
      </c>
      <c r="H1237" s="1856">
        <v>1</v>
      </c>
      <c r="I1237" s="1856">
        <v>1</v>
      </c>
      <c r="J1237" s="1873">
        <v>2</v>
      </c>
      <c r="K1237" s="1860"/>
      <c r="L1237" s="1854">
        <v>13121001201</v>
      </c>
      <c r="M1237" s="1855">
        <v>1</v>
      </c>
      <c r="N1237" s="1855">
        <v>1</v>
      </c>
      <c r="O1237" s="1856">
        <v>2</v>
      </c>
    </row>
    <row r="1238" spans="3:15" ht="13.5">
      <c r="C1238" s="1861" t="s">
        <v>5028</v>
      </c>
      <c r="D1238" s="1858">
        <v>1</v>
      </c>
      <c r="E1238" s="1858">
        <v>1</v>
      </c>
      <c r="F1238" s="1859">
        <v>2</v>
      </c>
      <c r="G1238" s="1872" t="s">
        <v>5028</v>
      </c>
      <c r="H1238" s="1856">
        <v>1</v>
      </c>
      <c r="I1238" s="1856" t="s">
        <v>3909</v>
      </c>
      <c r="J1238" s="1873">
        <v>1</v>
      </c>
      <c r="K1238" s="1860"/>
      <c r="L1238" s="1854">
        <v>13121001202</v>
      </c>
      <c r="M1238" s="1855">
        <v>1</v>
      </c>
      <c r="N1238" s="1855">
        <v>1</v>
      </c>
      <c r="O1238" s="1856">
        <v>2</v>
      </c>
    </row>
    <row r="1239" spans="3:15" ht="13.5">
      <c r="C1239" s="1861" t="s">
        <v>5029</v>
      </c>
      <c r="D1239" s="1858">
        <v>1</v>
      </c>
      <c r="E1239" s="1858">
        <v>1</v>
      </c>
      <c r="F1239" s="1859">
        <v>2</v>
      </c>
      <c r="G1239" s="1872" t="s">
        <v>5029</v>
      </c>
      <c r="H1239" s="1856">
        <v>1</v>
      </c>
      <c r="I1239" s="1856">
        <v>1</v>
      </c>
      <c r="J1239" s="1873">
        <v>2</v>
      </c>
      <c r="K1239" s="1860"/>
      <c r="L1239" s="1854">
        <v>13121001300</v>
      </c>
      <c r="M1239" s="1855">
        <v>1</v>
      </c>
      <c r="N1239" s="1855">
        <v>1</v>
      </c>
      <c r="O1239" s="1856">
        <v>2</v>
      </c>
    </row>
    <row r="1240" spans="3:15" ht="13.5">
      <c r="C1240" s="1861" t="s">
        <v>5030</v>
      </c>
      <c r="D1240" s="1858">
        <v>1</v>
      </c>
      <c r="E1240" s="1858">
        <v>1</v>
      </c>
      <c r="F1240" s="1859">
        <v>2</v>
      </c>
      <c r="G1240" s="1872" t="s">
        <v>5030</v>
      </c>
      <c r="H1240" s="1856">
        <v>1</v>
      </c>
      <c r="I1240" s="1856" t="s">
        <v>3909</v>
      </c>
      <c r="J1240" s="1873">
        <v>1</v>
      </c>
      <c r="K1240" s="1860"/>
      <c r="L1240" s="1854">
        <v>13121001400</v>
      </c>
      <c r="M1240" s="1855">
        <v>1</v>
      </c>
      <c r="N1240" s="1855">
        <v>1</v>
      </c>
      <c r="O1240" s="1856">
        <v>2</v>
      </c>
    </row>
    <row r="1241" spans="3:15" ht="13.5">
      <c r="C1241" s="1861" t="s">
        <v>5031</v>
      </c>
      <c r="D1241" s="1858">
        <v>1</v>
      </c>
      <c r="E1241" s="1858">
        <v>1</v>
      </c>
      <c r="F1241" s="1859">
        <v>2</v>
      </c>
      <c r="G1241" s="1872" t="s">
        <v>5031</v>
      </c>
      <c r="H1241" s="1856">
        <v>1</v>
      </c>
      <c r="I1241" s="1856">
        <v>0</v>
      </c>
      <c r="J1241" s="1873">
        <v>1</v>
      </c>
      <c r="K1241" s="1860"/>
      <c r="L1241" s="1854">
        <v>13121001500</v>
      </c>
      <c r="M1241" s="1855">
        <v>1</v>
      </c>
      <c r="N1241" s="1855">
        <v>1</v>
      </c>
      <c r="O1241" s="1856">
        <v>2</v>
      </c>
    </row>
    <row r="1242" spans="3:15" ht="13.5">
      <c r="C1242" s="1861" t="s">
        <v>5032</v>
      </c>
      <c r="D1242" s="1858">
        <v>1</v>
      </c>
      <c r="E1242" s="1858">
        <v>1</v>
      </c>
      <c r="F1242" s="1859">
        <v>2</v>
      </c>
      <c r="G1242" s="1872" t="s">
        <v>5032</v>
      </c>
      <c r="H1242" s="1856">
        <v>1</v>
      </c>
      <c r="I1242" s="1856" t="s">
        <v>3909</v>
      </c>
      <c r="J1242" s="1873">
        <v>1</v>
      </c>
      <c r="K1242" s="1860"/>
      <c r="L1242" s="1854">
        <v>13121001600</v>
      </c>
      <c r="M1242" s="1855">
        <v>1</v>
      </c>
      <c r="N1242" s="1855">
        <v>1</v>
      </c>
      <c r="O1242" s="1856">
        <v>2</v>
      </c>
    </row>
    <row r="1243" spans="3:15" ht="13.5">
      <c r="C1243" s="1861" t="s">
        <v>5033</v>
      </c>
      <c r="D1243" s="1858">
        <v>1</v>
      </c>
      <c r="E1243" s="1858">
        <v>0</v>
      </c>
      <c r="F1243" s="1859">
        <v>1</v>
      </c>
      <c r="G1243" s="1872" t="s">
        <v>5033</v>
      </c>
      <c r="H1243" s="1856">
        <v>1</v>
      </c>
      <c r="I1243" s="1856">
        <v>1</v>
      </c>
      <c r="J1243" s="1873">
        <v>2</v>
      </c>
      <c r="K1243" s="1860"/>
      <c r="L1243" s="1854">
        <v>13121001700</v>
      </c>
      <c r="M1243" s="1855">
        <v>1</v>
      </c>
      <c r="N1243" s="1855">
        <v>1</v>
      </c>
      <c r="O1243" s="1856">
        <v>2</v>
      </c>
    </row>
    <row r="1244" spans="3:15" ht="13.5">
      <c r="C1244" s="1861" t="s">
        <v>5034</v>
      </c>
      <c r="D1244" s="1858">
        <v>0</v>
      </c>
      <c r="E1244" s="1858">
        <v>0</v>
      </c>
      <c r="F1244" s="1859">
        <v>0</v>
      </c>
      <c r="G1244" s="1872" t="s">
        <v>5034</v>
      </c>
      <c r="H1244" s="1856">
        <v>0</v>
      </c>
      <c r="I1244" s="1856">
        <v>1</v>
      </c>
      <c r="J1244" s="1873">
        <v>1</v>
      </c>
      <c r="K1244" s="1860"/>
      <c r="L1244" s="1854">
        <v>13121001800</v>
      </c>
      <c r="M1244" s="1855">
        <v>0</v>
      </c>
      <c r="N1244" s="1855">
        <v>1</v>
      </c>
      <c r="O1244" s="1856">
        <v>1</v>
      </c>
    </row>
    <row r="1245" spans="3:15" ht="13.5">
      <c r="C1245" s="1861" t="s">
        <v>5035</v>
      </c>
      <c r="D1245" s="1858">
        <v>0</v>
      </c>
      <c r="E1245" s="1858">
        <v>1</v>
      </c>
      <c r="F1245" s="1859">
        <v>1</v>
      </c>
      <c r="G1245" s="1872" t="s">
        <v>5035</v>
      </c>
      <c r="H1245" s="1856">
        <v>0</v>
      </c>
      <c r="I1245" s="1856" t="s">
        <v>3909</v>
      </c>
      <c r="J1245" s="1873">
        <v>0</v>
      </c>
      <c r="K1245" s="1860"/>
      <c r="L1245" s="1854">
        <v>13121001900</v>
      </c>
      <c r="M1245" s="1855">
        <v>0</v>
      </c>
      <c r="N1245" s="1855">
        <v>1</v>
      </c>
      <c r="O1245" s="1856">
        <v>1</v>
      </c>
    </row>
    <row r="1246" spans="3:15" ht="13.5">
      <c r="C1246" s="1861" t="s">
        <v>5036</v>
      </c>
      <c r="D1246" s="1858">
        <v>0</v>
      </c>
      <c r="E1246" s="1858">
        <v>0</v>
      </c>
      <c r="F1246" s="1859">
        <v>0</v>
      </c>
      <c r="G1246" s="1872" t="s">
        <v>5036</v>
      </c>
      <c r="H1246" s="1856">
        <v>0</v>
      </c>
      <c r="I1246" s="1856" t="s">
        <v>3909</v>
      </c>
      <c r="J1246" s="1873">
        <v>0</v>
      </c>
      <c r="K1246" s="1860"/>
      <c r="L1246" s="1854">
        <v>13121002100</v>
      </c>
      <c r="M1246" s="1855">
        <v>0</v>
      </c>
      <c r="N1246" s="1855">
        <v>0</v>
      </c>
      <c r="O1246" s="1856">
        <v>0</v>
      </c>
    </row>
    <row r="1247" spans="3:15" ht="13.5">
      <c r="C1247" s="1861" t="s">
        <v>5037</v>
      </c>
      <c r="D1247" s="1858">
        <v>0</v>
      </c>
      <c r="E1247" s="1858">
        <v>0</v>
      </c>
      <c r="F1247" s="1859">
        <v>0</v>
      </c>
      <c r="G1247" s="1872" t="s">
        <v>5037</v>
      </c>
      <c r="H1247" s="1856">
        <v>0</v>
      </c>
      <c r="I1247" s="1856">
        <v>0</v>
      </c>
      <c r="J1247" s="1873">
        <v>0</v>
      </c>
      <c r="K1247" s="1860"/>
      <c r="L1247" s="1854">
        <v>13121002300</v>
      </c>
      <c r="M1247" s="1855">
        <v>0</v>
      </c>
      <c r="N1247" s="1855">
        <v>0</v>
      </c>
      <c r="O1247" s="1856">
        <v>0</v>
      </c>
    </row>
    <row r="1248" spans="3:15" ht="13.5">
      <c r="C1248" s="1861" t="s">
        <v>5038</v>
      </c>
      <c r="D1248" s="1858">
        <v>0</v>
      </c>
      <c r="E1248" s="1858">
        <v>0</v>
      </c>
      <c r="F1248" s="1859">
        <v>0</v>
      </c>
      <c r="G1248" s="1872" t="s">
        <v>5038</v>
      </c>
      <c r="H1248" s="1856">
        <v>0</v>
      </c>
      <c r="I1248" s="1856">
        <v>0</v>
      </c>
      <c r="J1248" s="1873">
        <v>0</v>
      </c>
      <c r="K1248" s="1860"/>
      <c r="L1248" s="1854">
        <v>13121002400</v>
      </c>
      <c r="M1248" s="1855">
        <v>0</v>
      </c>
      <c r="N1248" s="1855">
        <v>0</v>
      </c>
      <c r="O1248" s="1856">
        <v>0</v>
      </c>
    </row>
    <row r="1249" spans="3:15" ht="13.5">
      <c r="C1249" s="1861" t="s">
        <v>5039</v>
      </c>
      <c r="D1249" s="1858">
        <v>0</v>
      </c>
      <c r="E1249" s="1858">
        <v>0</v>
      </c>
      <c r="F1249" s="1859">
        <v>0</v>
      </c>
      <c r="G1249" s="1872" t="s">
        <v>5039</v>
      </c>
      <c r="H1249" s="1856">
        <v>0</v>
      </c>
      <c r="I1249" s="1856">
        <v>0</v>
      </c>
      <c r="J1249" s="1873">
        <v>0</v>
      </c>
      <c r="K1249" s="1860"/>
      <c r="L1249" s="1854">
        <v>13121002500</v>
      </c>
      <c r="M1249" s="1855">
        <v>0</v>
      </c>
      <c r="N1249" s="1855">
        <v>0</v>
      </c>
      <c r="O1249" s="1856">
        <v>0</v>
      </c>
    </row>
    <row r="1250" spans="3:15" ht="13.5">
      <c r="C1250" s="1861" t="s">
        <v>5040</v>
      </c>
      <c r="D1250" s="1858">
        <v>0</v>
      </c>
      <c r="E1250" s="1858">
        <v>0</v>
      </c>
      <c r="F1250" s="1859">
        <v>0</v>
      </c>
      <c r="G1250" s="1872" t="s">
        <v>5040</v>
      </c>
      <c r="H1250" s="1856">
        <v>0</v>
      </c>
      <c r="I1250" s="1856" t="s">
        <v>3909</v>
      </c>
      <c r="J1250" s="1873">
        <v>0</v>
      </c>
      <c r="K1250" s="1860"/>
      <c r="L1250" s="1854">
        <v>13121002600</v>
      </c>
      <c r="M1250" s="1855">
        <v>0</v>
      </c>
      <c r="N1250" s="1855">
        <v>0</v>
      </c>
      <c r="O1250" s="1856">
        <v>0</v>
      </c>
    </row>
    <row r="1251" spans="3:15" ht="13.5">
      <c r="C1251" s="1861" t="s">
        <v>5041</v>
      </c>
      <c r="D1251" s="1858">
        <v>0</v>
      </c>
      <c r="E1251" s="1858">
        <v>0</v>
      </c>
      <c r="F1251" s="1859">
        <v>0</v>
      </c>
      <c r="G1251" s="1872" t="s">
        <v>5041</v>
      </c>
      <c r="H1251" s="1856">
        <v>0</v>
      </c>
      <c r="I1251" s="1856" t="s">
        <v>3909</v>
      </c>
      <c r="J1251" s="1873">
        <v>0</v>
      </c>
      <c r="K1251" s="1860"/>
      <c r="L1251" s="1854">
        <v>13121002800</v>
      </c>
      <c r="M1251" s="1855">
        <v>0</v>
      </c>
      <c r="N1251" s="1855">
        <v>0</v>
      </c>
      <c r="O1251" s="1856">
        <v>0</v>
      </c>
    </row>
    <row r="1252" spans="3:15" ht="13.5">
      <c r="C1252" s="1861" t="s">
        <v>5042</v>
      </c>
      <c r="D1252" s="1858">
        <v>1</v>
      </c>
      <c r="E1252" s="1858">
        <v>1</v>
      </c>
      <c r="F1252" s="1859">
        <v>2</v>
      </c>
      <c r="G1252" s="1872" t="s">
        <v>5042</v>
      </c>
      <c r="H1252" s="1856">
        <v>1</v>
      </c>
      <c r="I1252" s="1856">
        <v>1</v>
      </c>
      <c r="J1252" s="1873">
        <v>2</v>
      </c>
      <c r="K1252" s="1860"/>
      <c r="L1252" s="1854">
        <v>13121002900</v>
      </c>
      <c r="M1252" s="1855">
        <v>1</v>
      </c>
      <c r="N1252" s="1855">
        <v>1</v>
      </c>
      <c r="O1252" s="1856">
        <v>2</v>
      </c>
    </row>
    <row r="1253" spans="3:15" ht="13.5">
      <c r="C1253" s="1861" t="s">
        <v>5043</v>
      </c>
      <c r="D1253" s="1858">
        <v>1</v>
      </c>
      <c r="E1253" s="1858">
        <v>1</v>
      </c>
      <c r="F1253" s="1859">
        <v>2</v>
      </c>
      <c r="G1253" s="1872" t="s">
        <v>5043</v>
      </c>
      <c r="H1253" s="1856">
        <v>1</v>
      </c>
      <c r="I1253" s="1856" t="s">
        <v>3909</v>
      </c>
      <c r="J1253" s="1873">
        <v>1</v>
      </c>
      <c r="K1253" s="1860"/>
      <c r="L1253" s="1854">
        <v>13121003000</v>
      </c>
      <c r="M1253" s="1855">
        <v>1</v>
      </c>
      <c r="N1253" s="1855">
        <v>1</v>
      </c>
      <c r="O1253" s="1856">
        <v>2</v>
      </c>
    </row>
    <row r="1254" spans="3:15" ht="13.5">
      <c r="C1254" s="1861" t="s">
        <v>5044</v>
      </c>
      <c r="D1254" s="1858">
        <v>1</v>
      </c>
      <c r="E1254" s="1858">
        <v>0</v>
      </c>
      <c r="F1254" s="1859">
        <v>1</v>
      </c>
      <c r="G1254" s="1872" t="s">
        <v>5044</v>
      </c>
      <c r="H1254" s="1856">
        <v>1</v>
      </c>
      <c r="I1254" s="1856">
        <v>0</v>
      </c>
      <c r="J1254" s="1873">
        <v>1</v>
      </c>
      <c r="K1254" s="1860"/>
      <c r="L1254" s="1854">
        <v>13121003100</v>
      </c>
      <c r="M1254" s="1855">
        <v>1</v>
      </c>
      <c r="N1254" s="1855">
        <v>0</v>
      </c>
      <c r="O1254" s="1856">
        <v>1</v>
      </c>
    </row>
    <row r="1255" spans="3:15" ht="13.5">
      <c r="C1255" s="1861" t="s">
        <v>5045</v>
      </c>
      <c r="D1255" s="1858">
        <v>1</v>
      </c>
      <c r="E1255" s="1858">
        <v>1</v>
      </c>
      <c r="F1255" s="1859">
        <v>2</v>
      </c>
      <c r="G1255" s="1872" t="s">
        <v>5045</v>
      </c>
      <c r="H1255" s="1856">
        <v>1</v>
      </c>
      <c r="I1255" s="1856" t="s">
        <v>3909</v>
      </c>
      <c r="J1255" s="1873">
        <v>1</v>
      </c>
      <c r="K1255" s="1860"/>
      <c r="L1255" s="1854">
        <v>13121003200</v>
      </c>
      <c r="M1255" s="1855">
        <v>1</v>
      </c>
      <c r="N1255" s="1855">
        <v>1</v>
      </c>
      <c r="O1255" s="1856">
        <v>2</v>
      </c>
    </row>
    <row r="1256" spans="3:15" ht="13.5">
      <c r="C1256" s="1861" t="s">
        <v>5046</v>
      </c>
      <c r="D1256" s="1858">
        <v>0</v>
      </c>
      <c r="E1256" s="1858">
        <v>0</v>
      </c>
      <c r="F1256" s="1859">
        <v>0</v>
      </c>
      <c r="G1256" s="1872" t="s">
        <v>5046</v>
      </c>
      <c r="H1256" s="1856">
        <v>0</v>
      </c>
      <c r="I1256" s="1856" t="s">
        <v>3909</v>
      </c>
      <c r="J1256" s="1873">
        <v>0</v>
      </c>
      <c r="K1256" s="1860"/>
      <c r="L1256" s="1854">
        <v>13121003500</v>
      </c>
      <c r="M1256" s="1855">
        <v>0</v>
      </c>
      <c r="N1256" s="1855">
        <v>0</v>
      </c>
      <c r="O1256" s="1856">
        <v>0</v>
      </c>
    </row>
    <row r="1257" spans="3:15" ht="13.5">
      <c r="C1257" s="1861" t="s">
        <v>5047</v>
      </c>
      <c r="D1257" s="1858">
        <v>1</v>
      </c>
      <c r="E1257" s="1858">
        <v>0</v>
      </c>
      <c r="F1257" s="1859">
        <v>1</v>
      </c>
      <c r="G1257" s="1872" t="s">
        <v>5047</v>
      </c>
      <c r="H1257" s="1856">
        <v>0</v>
      </c>
      <c r="I1257" s="1856">
        <v>0</v>
      </c>
      <c r="J1257" s="1873">
        <v>0</v>
      </c>
      <c r="K1257" s="1860"/>
      <c r="L1257" s="1854">
        <v>13121003600</v>
      </c>
      <c r="M1257" s="1855">
        <v>1</v>
      </c>
      <c r="N1257" s="1855">
        <v>0</v>
      </c>
      <c r="O1257" s="1856">
        <v>1</v>
      </c>
    </row>
    <row r="1258" spans="3:15" ht="13.5">
      <c r="C1258" s="1861" t="s">
        <v>5048</v>
      </c>
      <c r="D1258" s="1858" t="s">
        <v>3909</v>
      </c>
      <c r="E1258" s="1858" t="s">
        <v>3909</v>
      </c>
      <c r="F1258" s="1859">
        <v>0</v>
      </c>
      <c r="G1258" s="1872" t="s">
        <v>5048</v>
      </c>
      <c r="H1258" s="1856">
        <v>0</v>
      </c>
      <c r="I1258" s="1856" t="s">
        <v>3909</v>
      </c>
      <c r="J1258" s="1873">
        <v>0</v>
      </c>
      <c r="K1258" s="1860"/>
      <c r="L1258" s="1854">
        <v>13121003700</v>
      </c>
      <c r="M1258" s="1855">
        <v>0</v>
      </c>
      <c r="N1258" s="1855">
        <v>0</v>
      </c>
      <c r="O1258" s="1856">
        <v>0</v>
      </c>
    </row>
    <row r="1259" spans="3:15" ht="13.5">
      <c r="C1259" s="1861" t="s">
        <v>5049</v>
      </c>
      <c r="D1259" s="1858">
        <v>0</v>
      </c>
      <c r="E1259" s="1858">
        <v>0</v>
      </c>
      <c r="F1259" s="1859">
        <v>0</v>
      </c>
      <c r="G1259" s="1872" t="s">
        <v>5049</v>
      </c>
      <c r="H1259" s="1856">
        <v>0</v>
      </c>
      <c r="I1259" s="1856" t="s">
        <v>3909</v>
      </c>
      <c r="J1259" s="1873">
        <v>0</v>
      </c>
      <c r="K1259" s="1860"/>
      <c r="L1259" s="1854">
        <v>13121003800</v>
      </c>
      <c r="M1259" s="1855">
        <v>0</v>
      </c>
      <c r="N1259" s="1855">
        <v>0</v>
      </c>
      <c r="O1259" s="1856">
        <v>0</v>
      </c>
    </row>
    <row r="1260" spans="3:15" ht="13.5">
      <c r="C1260" s="1861" t="s">
        <v>5050</v>
      </c>
      <c r="D1260" s="1858">
        <v>0</v>
      </c>
      <c r="E1260" s="1858">
        <v>0</v>
      </c>
      <c r="F1260" s="1859">
        <v>0</v>
      </c>
      <c r="G1260" s="1872" t="s">
        <v>5050</v>
      </c>
      <c r="H1260" s="1856">
        <v>0</v>
      </c>
      <c r="I1260" s="1856">
        <v>0</v>
      </c>
      <c r="J1260" s="1873">
        <v>0</v>
      </c>
      <c r="K1260" s="1860"/>
      <c r="L1260" s="1854">
        <v>13121003900</v>
      </c>
      <c r="M1260" s="1855">
        <v>0</v>
      </c>
      <c r="N1260" s="1855">
        <v>0</v>
      </c>
      <c r="O1260" s="1856">
        <v>0</v>
      </c>
    </row>
    <row r="1261" spans="3:15" ht="13.5">
      <c r="C1261" s="1861" t="s">
        <v>5051</v>
      </c>
      <c r="D1261" s="1858">
        <v>0</v>
      </c>
      <c r="E1261" s="1858">
        <v>0</v>
      </c>
      <c r="F1261" s="1859">
        <v>0</v>
      </c>
      <c r="G1261" s="1872" t="s">
        <v>5051</v>
      </c>
      <c r="H1261" s="1856">
        <v>0</v>
      </c>
      <c r="I1261" s="1856">
        <v>0</v>
      </c>
      <c r="J1261" s="1873">
        <v>0</v>
      </c>
      <c r="K1261" s="1860"/>
      <c r="L1261" s="1854">
        <v>13121004000</v>
      </c>
      <c r="M1261" s="1855">
        <v>0</v>
      </c>
      <c r="N1261" s="1855">
        <v>0</v>
      </c>
      <c r="O1261" s="1856">
        <v>0</v>
      </c>
    </row>
    <row r="1262" spans="3:15" ht="13.5">
      <c r="C1262" s="1861" t="s">
        <v>5052</v>
      </c>
      <c r="D1262" s="1858">
        <v>0</v>
      </c>
      <c r="E1262" s="1858">
        <v>0</v>
      </c>
      <c r="F1262" s="1859">
        <v>0</v>
      </c>
      <c r="G1262" s="1872" t="s">
        <v>5052</v>
      </c>
      <c r="H1262" s="1856">
        <v>0</v>
      </c>
      <c r="I1262" s="1856">
        <v>0</v>
      </c>
      <c r="J1262" s="1873">
        <v>0</v>
      </c>
      <c r="K1262" s="1860"/>
      <c r="L1262" s="1854">
        <v>13121004100</v>
      </c>
      <c r="M1262" s="1855">
        <v>0</v>
      </c>
      <c r="N1262" s="1855">
        <v>0</v>
      </c>
      <c r="O1262" s="1856">
        <v>0</v>
      </c>
    </row>
    <row r="1263" spans="3:15" ht="13.5">
      <c r="C1263" s="1861" t="s">
        <v>5053</v>
      </c>
      <c r="D1263" s="1858">
        <v>0</v>
      </c>
      <c r="E1263" s="1858">
        <v>0</v>
      </c>
      <c r="F1263" s="1859">
        <v>0</v>
      </c>
      <c r="G1263" s="1872" t="s">
        <v>5053</v>
      </c>
      <c r="H1263" s="1856">
        <v>0</v>
      </c>
      <c r="I1263" s="1856">
        <v>0</v>
      </c>
      <c r="J1263" s="1873">
        <v>0</v>
      </c>
      <c r="K1263" s="1860"/>
      <c r="L1263" s="1854">
        <v>13121004200</v>
      </c>
      <c r="M1263" s="1855">
        <v>0</v>
      </c>
      <c r="N1263" s="1855">
        <v>0</v>
      </c>
      <c r="O1263" s="1856">
        <v>0</v>
      </c>
    </row>
    <row r="1264" spans="3:15" ht="13.5">
      <c r="C1264" s="1861" t="s">
        <v>5054</v>
      </c>
      <c r="D1264" s="1858">
        <v>0</v>
      </c>
      <c r="E1264" s="1858">
        <v>0</v>
      </c>
      <c r="F1264" s="1859">
        <v>0</v>
      </c>
      <c r="G1264" s="1872" t="s">
        <v>5054</v>
      </c>
      <c r="H1264" s="1856">
        <v>0</v>
      </c>
      <c r="I1264" s="1856" t="s">
        <v>3909</v>
      </c>
      <c r="J1264" s="1873">
        <v>0</v>
      </c>
      <c r="K1264" s="1860"/>
      <c r="L1264" s="1854">
        <v>13121004300</v>
      </c>
      <c r="M1264" s="1855">
        <v>0</v>
      </c>
      <c r="N1264" s="1855">
        <v>0</v>
      </c>
      <c r="O1264" s="1856">
        <v>0</v>
      </c>
    </row>
    <row r="1265" spans="3:15" ht="13.5">
      <c r="C1265" s="1861" t="s">
        <v>5055</v>
      </c>
      <c r="D1265" s="1858">
        <v>0</v>
      </c>
      <c r="E1265" s="1858">
        <v>0</v>
      </c>
      <c r="F1265" s="1859">
        <v>0</v>
      </c>
      <c r="G1265" s="1872" t="s">
        <v>5055</v>
      </c>
      <c r="H1265" s="1856">
        <v>0</v>
      </c>
      <c r="I1265" s="1856">
        <v>0</v>
      </c>
      <c r="J1265" s="1873">
        <v>0</v>
      </c>
      <c r="K1265" s="1860"/>
      <c r="L1265" s="1854">
        <v>13121004400</v>
      </c>
      <c r="M1265" s="1855">
        <v>0</v>
      </c>
      <c r="N1265" s="1855">
        <v>0</v>
      </c>
      <c r="O1265" s="1856">
        <v>0</v>
      </c>
    </row>
    <row r="1266" spans="3:15" ht="13.5">
      <c r="C1266" s="1861" t="s">
        <v>5056</v>
      </c>
      <c r="D1266" s="1858">
        <v>0</v>
      </c>
      <c r="E1266" s="1858">
        <v>0</v>
      </c>
      <c r="F1266" s="1859">
        <v>0</v>
      </c>
      <c r="G1266" s="1872" t="s">
        <v>5056</v>
      </c>
      <c r="H1266" s="1856">
        <v>0</v>
      </c>
      <c r="I1266" s="1856" t="s">
        <v>3909</v>
      </c>
      <c r="J1266" s="1873">
        <v>0</v>
      </c>
      <c r="K1266" s="1860"/>
      <c r="L1266" s="1854">
        <v>13121004800</v>
      </c>
      <c r="M1266" s="1855">
        <v>0</v>
      </c>
      <c r="N1266" s="1855">
        <v>0</v>
      </c>
      <c r="O1266" s="1856">
        <v>0</v>
      </c>
    </row>
    <row r="1267" spans="3:15" ht="13.5">
      <c r="C1267" s="1861" t="s">
        <v>5057</v>
      </c>
      <c r="D1267" s="1858">
        <v>1</v>
      </c>
      <c r="E1267" s="1858">
        <v>0</v>
      </c>
      <c r="F1267" s="1859">
        <v>1</v>
      </c>
      <c r="G1267" s="1872" t="s">
        <v>5057</v>
      </c>
      <c r="H1267" s="1856">
        <v>1</v>
      </c>
      <c r="I1267" s="1856" t="s">
        <v>3909</v>
      </c>
      <c r="J1267" s="1873">
        <v>1</v>
      </c>
      <c r="K1267" s="1860"/>
      <c r="L1267" s="1854">
        <v>13121004900</v>
      </c>
      <c r="M1267" s="1855">
        <v>1</v>
      </c>
      <c r="N1267" s="1855">
        <v>0</v>
      </c>
      <c r="O1267" s="1856">
        <v>1</v>
      </c>
    </row>
    <row r="1268" spans="3:15" ht="13.5">
      <c r="C1268" s="1861" t="s">
        <v>5058</v>
      </c>
      <c r="D1268" s="1858">
        <v>1</v>
      </c>
      <c r="E1268" s="1858">
        <v>1</v>
      </c>
      <c r="F1268" s="1859">
        <v>2</v>
      </c>
      <c r="G1268" s="1872" t="s">
        <v>5058</v>
      </c>
      <c r="H1268" s="1856">
        <v>1</v>
      </c>
      <c r="I1268" s="1856">
        <v>1</v>
      </c>
      <c r="J1268" s="1873">
        <v>2</v>
      </c>
      <c r="K1268" s="1860"/>
      <c r="L1268" s="1854">
        <v>13121005000</v>
      </c>
      <c r="M1268" s="1855">
        <v>1</v>
      </c>
      <c r="N1268" s="1855">
        <v>1</v>
      </c>
      <c r="O1268" s="1856">
        <v>2</v>
      </c>
    </row>
    <row r="1269" spans="3:15" ht="13.5">
      <c r="C1269" s="1861" t="s">
        <v>5059</v>
      </c>
      <c r="D1269" s="1858">
        <v>1</v>
      </c>
      <c r="E1269" s="1858">
        <v>1</v>
      </c>
      <c r="F1269" s="1859">
        <v>2</v>
      </c>
      <c r="G1269" s="1872" t="s">
        <v>5059</v>
      </c>
      <c r="H1269" s="1856">
        <v>1</v>
      </c>
      <c r="I1269" s="1856">
        <v>1</v>
      </c>
      <c r="J1269" s="1873">
        <v>2</v>
      </c>
      <c r="K1269" s="1860"/>
      <c r="L1269" s="1854">
        <v>13121005200</v>
      </c>
      <c r="M1269" s="1855">
        <v>1</v>
      </c>
      <c r="N1269" s="1855">
        <v>1</v>
      </c>
      <c r="O1269" s="1856">
        <v>2</v>
      </c>
    </row>
    <row r="1270" spans="3:15" ht="13.5">
      <c r="C1270" s="1861" t="s">
        <v>5060</v>
      </c>
      <c r="D1270" s="1858">
        <v>1</v>
      </c>
      <c r="E1270" s="1858">
        <v>1</v>
      </c>
      <c r="F1270" s="1859">
        <v>2</v>
      </c>
      <c r="G1270" s="1872" t="s">
        <v>5060</v>
      </c>
      <c r="H1270" s="1856">
        <v>1</v>
      </c>
      <c r="I1270" s="1856">
        <v>1</v>
      </c>
      <c r="J1270" s="1873">
        <v>2</v>
      </c>
      <c r="K1270" s="1860"/>
      <c r="L1270" s="1854">
        <v>13121005300</v>
      </c>
      <c r="M1270" s="1855">
        <v>1</v>
      </c>
      <c r="N1270" s="1855">
        <v>1</v>
      </c>
      <c r="O1270" s="1856">
        <v>2</v>
      </c>
    </row>
    <row r="1271" spans="3:15" ht="13.5">
      <c r="C1271" s="1861" t="s">
        <v>5061</v>
      </c>
      <c r="D1271" s="1858">
        <v>0</v>
      </c>
      <c r="E1271" s="1858">
        <v>0</v>
      </c>
      <c r="F1271" s="1859">
        <v>0</v>
      </c>
      <c r="G1271" s="1872" t="s">
        <v>5061</v>
      </c>
      <c r="H1271" s="1856">
        <v>0</v>
      </c>
      <c r="I1271" s="1856">
        <v>0</v>
      </c>
      <c r="J1271" s="1873">
        <v>0</v>
      </c>
      <c r="K1271" s="1860"/>
      <c r="L1271" s="1854">
        <v>13121005501</v>
      </c>
      <c r="M1271" s="1855">
        <v>0</v>
      </c>
      <c r="N1271" s="1855">
        <v>0</v>
      </c>
      <c r="O1271" s="1856">
        <v>0</v>
      </c>
    </row>
    <row r="1272" spans="3:15" ht="13.5">
      <c r="C1272" s="1861" t="s">
        <v>5062</v>
      </c>
      <c r="D1272" s="1858">
        <v>0</v>
      </c>
      <c r="E1272" s="1858">
        <v>0</v>
      </c>
      <c r="F1272" s="1859">
        <v>0</v>
      </c>
      <c r="G1272" s="1872" t="s">
        <v>5062</v>
      </c>
      <c r="H1272" s="1856">
        <v>0</v>
      </c>
      <c r="I1272" s="1856">
        <v>0</v>
      </c>
      <c r="J1272" s="1873">
        <v>0</v>
      </c>
      <c r="K1272" s="1860"/>
      <c r="L1272" s="1854">
        <v>13121005502</v>
      </c>
      <c r="M1272" s="1855">
        <v>0</v>
      </c>
      <c r="N1272" s="1855">
        <v>0</v>
      </c>
      <c r="O1272" s="1856">
        <v>0</v>
      </c>
    </row>
    <row r="1273" spans="3:15" ht="13.5">
      <c r="C1273" s="1861" t="s">
        <v>5063</v>
      </c>
      <c r="D1273" s="1858">
        <v>0</v>
      </c>
      <c r="E1273" s="1858">
        <v>0</v>
      </c>
      <c r="F1273" s="1859">
        <v>0</v>
      </c>
      <c r="G1273" s="1872" t="s">
        <v>5063</v>
      </c>
      <c r="H1273" s="1856">
        <v>0</v>
      </c>
      <c r="I1273" s="1856">
        <v>0</v>
      </c>
      <c r="J1273" s="1873">
        <v>0</v>
      </c>
      <c r="K1273" s="1860"/>
      <c r="L1273" s="1854">
        <v>13121005700</v>
      </c>
      <c r="M1273" s="1855">
        <v>0</v>
      </c>
      <c r="N1273" s="1855">
        <v>0</v>
      </c>
      <c r="O1273" s="1856">
        <v>0</v>
      </c>
    </row>
    <row r="1274" spans="3:15" ht="13.5">
      <c r="C1274" s="1861" t="s">
        <v>5064</v>
      </c>
      <c r="D1274" s="1858">
        <v>0</v>
      </c>
      <c r="E1274" s="1858">
        <v>0</v>
      </c>
      <c r="F1274" s="1859">
        <v>0</v>
      </c>
      <c r="G1274" s="1872" t="s">
        <v>5064</v>
      </c>
      <c r="H1274" s="1856">
        <v>0</v>
      </c>
      <c r="I1274" s="1856">
        <v>0</v>
      </c>
      <c r="J1274" s="1873">
        <v>0</v>
      </c>
      <c r="K1274" s="1860"/>
      <c r="L1274" s="1854">
        <v>13121005800</v>
      </c>
      <c r="M1274" s="1855">
        <v>0</v>
      </c>
      <c r="N1274" s="1855">
        <v>0</v>
      </c>
      <c r="O1274" s="1856">
        <v>0</v>
      </c>
    </row>
    <row r="1275" spans="3:15" ht="13.5">
      <c r="C1275" s="1861" t="s">
        <v>5065</v>
      </c>
      <c r="D1275" s="1858">
        <v>0</v>
      </c>
      <c r="E1275" s="1858">
        <v>0</v>
      </c>
      <c r="F1275" s="1859">
        <v>0</v>
      </c>
      <c r="G1275" s="1872" t="s">
        <v>5065</v>
      </c>
      <c r="H1275" s="1856">
        <v>0</v>
      </c>
      <c r="I1275" s="1856">
        <v>0</v>
      </c>
      <c r="J1275" s="1873">
        <v>0</v>
      </c>
      <c r="K1275" s="1860"/>
      <c r="L1275" s="1854">
        <v>13121006000</v>
      </c>
      <c r="M1275" s="1855">
        <v>0</v>
      </c>
      <c r="N1275" s="1855">
        <v>0</v>
      </c>
      <c r="O1275" s="1856">
        <v>0</v>
      </c>
    </row>
    <row r="1276" spans="3:15" ht="13.5">
      <c r="C1276" s="1861" t="s">
        <v>5066</v>
      </c>
      <c r="D1276" s="1858">
        <v>0</v>
      </c>
      <c r="E1276" s="1858">
        <v>0</v>
      </c>
      <c r="F1276" s="1859">
        <v>0</v>
      </c>
      <c r="G1276" s="1872" t="s">
        <v>5066</v>
      </c>
      <c r="H1276" s="1856">
        <v>0</v>
      </c>
      <c r="I1276" s="1856">
        <v>0</v>
      </c>
      <c r="J1276" s="1873">
        <v>0</v>
      </c>
      <c r="K1276" s="1860"/>
      <c r="L1276" s="1854">
        <v>13121006100</v>
      </c>
      <c r="M1276" s="1855">
        <v>0</v>
      </c>
      <c r="N1276" s="1855">
        <v>0</v>
      </c>
      <c r="O1276" s="1856">
        <v>0</v>
      </c>
    </row>
    <row r="1277" spans="3:15" ht="13.5">
      <c r="C1277" s="1861" t="s">
        <v>5067</v>
      </c>
      <c r="D1277" s="1858">
        <v>0</v>
      </c>
      <c r="E1277" s="1858">
        <v>0</v>
      </c>
      <c r="F1277" s="1859">
        <v>0</v>
      </c>
      <c r="G1277" s="1872" t="s">
        <v>5067</v>
      </c>
      <c r="H1277" s="1856">
        <v>0</v>
      </c>
      <c r="I1277" s="1856">
        <v>0</v>
      </c>
      <c r="J1277" s="1873">
        <v>0</v>
      </c>
      <c r="K1277" s="1860"/>
      <c r="L1277" s="1854">
        <v>13121006200</v>
      </c>
      <c r="M1277" s="1855">
        <v>0</v>
      </c>
      <c r="N1277" s="1855">
        <v>0</v>
      </c>
      <c r="O1277" s="1856">
        <v>0</v>
      </c>
    </row>
    <row r="1278" spans="3:15" ht="13.5">
      <c r="C1278" s="1861" t="s">
        <v>5068</v>
      </c>
      <c r="D1278" s="1858">
        <v>0</v>
      </c>
      <c r="E1278" s="1858">
        <v>0</v>
      </c>
      <c r="F1278" s="1859">
        <v>0</v>
      </c>
      <c r="G1278" s="1872" t="s">
        <v>5068</v>
      </c>
      <c r="H1278" s="1856">
        <v>0</v>
      </c>
      <c r="I1278" s="1856">
        <v>0</v>
      </c>
      <c r="J1278" s="1873">
        <v>0</v>
      </c>
      <c r="K1278" s="1860"/>
      <c r="L1278" s="1854">
        <v>13121006300</v>
      </c>
      <c r="M1278" s="1855">
        <v>0</v>
      </c>
      <c r="N1278" s="1855">
        <v>0</v>
      </c>
      <c r="O1278" s="1856">
        <v>0</v>
      </c>
    </row>
    <row r="1279" spans="3:15" ht="13.5">
      <c r="C1279" s="1861" t="s">
        <v>5069</v>
      </c>
      <c r="D1279" s="1858">
        <v>0</v>
      </c>
      <c r="E1279" s="1858">
        <v>0</v>
      </c>
      <c r="F1279" s="1859">
        <v>0</v>
      </c>
      <c r="G1279" s="1872" t="s">
        <v>5069</v>
      </c>
      <c r="H1279" s="1856">
        <v>0</v>
      </c>
      <c r="I1279" s="1856" t="s">
        <v>3909</v>
      </c>
      <c r="J1279" s="1873">
        <v>0</v>
      </c>
      <c r="K1279" s="1860"/>
      <c r="L1279" s="1854">
        <v>13121006400</v>
      </c>
      <c r="M1279" s="1855">
        <v>0</v>
      </c>
      <c r="N1279" s="1855">
        <v>0</v>
      </c>
      <c r="O1279" s="1856">
        <v>0</v>
      </c>
    </row>
    <row r="1280" spans="3:15" ht="13.5">
      <c r="C1280" s="1861" t="s">
        <v>5070</v>
      </c>
      <c r="D1280" s="1858">
        <v>0</v>
      </c>
      <c r="E1280" s="1858">
        <v>0</v>
      </c>
      <c r="F1280" s="1859">
        <v>0</v>
      </c>
      <c r="G1280" s="1872" t="s">
        <v>5070</v>
      </c>
      <c r="H1280" s="1856">
        <v>0</v>
      </c>
      <c r="I1280" s="1856">
        <v>0</v>
      </c>
      <c r="J1280" s="1873">
        <v>0</v>
      </c>
      <c r="K1280" s="1860"/>
      <c r="L1280" s="1854">
        <v>13121006500</v>
      </c>
      <c r="M1280" s="1855">
        <v>0</v>
      </c>
      <c r="N1280" s="1855">
        <v>0</v>
      </c>
      <c r="O1280" s="1856">
        <v>0</v>
      </c>
    </row>
    <row r="1281" spans="3:15" ht="13.5">
      <c r="C1281" s="1861" t="s">
        <v>5071</v>
      </c>
      <c r="D1281" s="1858">
        <v>0</v>
      </c>
      <c r="E1281" s="1858">
        <v>0</v>
      </c>
      <c r="F1281" s="1859">
        <v>0</v>
      </c>
      <c r="G1281" s="1872" t="s">
        <v>5071</v>
      </c>
      <c r="H1281" s="1856">
        <v>0</v>
      </c>
      <c r="I1281" s="1856">
        <v>0</v>
      </c>
      <c r="J1281" s="1873">
        <v>0</v>
      </c>
      <c r="K1281" s="1860"/>
      <c r="L1281" s="1854">
        <v>13121006601</v>
      </c>
      <c r="M1281" s="1855">
        <v>0</v>
      </c>
      <c r="N1281" s="1855">
        <v>0</v>
      </c>
      <c r="O1281" s="1856">
        <v>0</v>
      </c>
    </row>
    <row r="1282" spans="3:15" ht="13.5">
      <c r="C1282" s="1861" t="s">
        <v>5072</v>
      </c>
      <c r="D1282" s="1858">
        <v>0</v>
      </c>
      <c r="E1282" s="1858">
        <v>0</v>
      </c>
      <c r="F1282" s="1859">
        <v>0</v>
      </c>
      <c r="G1282" s="1872" t="s">
        <v>5072</v>
      </c>
      <c r="H1282" s="1856">
        <v>0</v>
      </c>
      <c r="I1282" s="1856">
        <v>0</v>
      </c>
      <c r="J1282" s="1873">
        <v>0</v>
      </c>
      <c r="K1282" s="1860"/>
      <c r="L1282" s="1854">
        <v>13121006602</v>
      </c>
      <c r="M1282" s="1855">
        <v>0</v>
      </c>
      <c r="N1282" s="1855">
        <v>0</v>
      </c>
      <c r="O1282" s="1856">
        <v>0</v>
      </c>
    </row>
    <row r="1283" spans="3:15" ht="13.5">
      <c r="C1283" s="1861" t="s">
        <v>5073</v>
      </c>
      <c r="D1283" s="1858">
        <v>0</v>
      </c>
      <c r="E1283" s="1858">
        <v>0</v>
      </c>
      <c r="F1283" s="1859">
        <v>0</v>
      </c>
      <c r="G1283" s="1872" t="s">
        <v>5073</v>
      </c>
      <c r="H1283" s="1856">
        <v>0</v>
      </c>
      <c r="I1283" s="1856">
        <v>0</v>
      </c>
      <c r="J1283" s="1873">
        <v>0</v>
      </c>
      <c r="K1283" s="1860"/>
      <c r="L1283" s="1854">
        <v>13121006700</v>
      </c>
      <c r="M1283" s="1855">
        <v>0</v>
      </c>
      <c r="N1283" s="1855">
        <v>0</v>
      </c>
      <c r="O1283" s="1856">
        <v>0</v>
      </c>
    </row>
    <row r="1284" spans="3:15" ht="13.5">
      <c r="C1284" s="1861" t="s">
        <v>5074</v>
      </c>
      <c r="D1284" s="1858" t="s">
        <v>3909</v>
      </c>
      <c r="E1284" s="1858" t="s">
        <v>3909</v>
      </c>
      <c r="F1284" s="1859">
        <v>0</v>
      </c>
      <c r="G1284" s="1872" t="s">
        <v>5074</v>
      </c>
      <c r="H1284" s="1856" t="s">
        <v>3909</v>
      </c>
      <c r="I1284" s="1856" t="s">
        <v>3909</v>
      </c>
      <c r="J1284" s="1873">
        <v>0</v>
      </c>
      <c r="K1284" s="1860"/>
      <c r="L1284" s="1854">
        <v>13121006801</v>
      </c>
      <c r="M1284" s="1855">
        <v>0</v>
      </c>
      <c r="N1284" s="1855">
        <v>0</v>
      </c>
      <c r="O1284" s="1856">
        <v>0</v>
      </c>
    </row>
    <row r="1285" spans="3:15" ht="13.5">
      <c r="C1285" s="1861" t="s">
        <v>5075</v>
      </c>
      <c r="D1285" s="1858">
        <v>0</v>
      </c>
      <c r="E1285" s="1858">
        <v>0</v>
      </c>
      <c r="F1285" s="1859">
        <v>0</v>
      </c>
      <c r="G1285" s="1872" t="s">
        <v>5075</v>
      </c>
      <c r="H1285" s="1856">
        <v>0</v>
      </c>
      <c r="I1285" s="1856">
        <v>0</v>
      </c>
      <c r="J1285" s="1873">
        <v>0</v>
      </c>
      <c r="K1285" s="1860"/>
      <c r="L1285" s="1854">
        <v>13121006802</v>
      </c>
      <c r="M1285" s="1855">
        <v>0</v>
      </c>
      <c r="N1285" s="1855">
        <v>0</v>
      </c>
      <c r="O1285" s="1856">
        <v>0</v>
      </c>
    </row>
    <row r="1286" spans="3:15" ht="13.5">
      <c r="C1286" s="1861" t="s">
        <v>5076</v>
      </c>
      <c r="D1286" s="1858">
        <v>0</v>
      </c>
      <c r="E1286" s="1858">
        <v>0</v>
      </c>
      <c r="F1286" s="1859">
        <v>0</v>
      </c>
      <c r="G1286" s="1872" t="s">
        <v>5076</v>
      </c>
      <c r="H1286" s="1856">
        <v>1</v>
      </c>
      <c r="I1286" s="1856">
        <v>0</v>
      </c>
      <c r="J1286" s="1873">
        <v>1</v>
      </c>
      <c r="K1286" s="1860"/>
      <c r="L1286" s="1854">
        <v>13121006900</v>
      </c>
      <c r="M1286" s="1855">
        <v>1</v>
      </c>
      <c r="N1286" s="1855">
        <v>0</v>
      </c>
      <c r="O1286" s="1856">
        <v>1</v>
      </c>
    </row>
    <row r="1287" spans="3:15" ht="13.5">
      <c r="C1287" s="1861" t="s">
        <v>5077</v>
      </c>
      <c r="D1287" s="1858">
        <v>0</v>
      </c>
      <c r="E1287" s="1858">
        <v>0</v>
      </c>
      <c r="F1287" s="1859">
        <v>0</v>
      </c>
      <c r="G1287" s="1872" t="s">
        <v>5077</v>
      </c>
      <c r="H1287" s="1856">
        <v>0</v>
      </c>
      <c r="I1287" s="1856">
        <v>0</v>
      </c>
      <c r="J1287" s="1873">
        <v>0</v>
      </c>
      <c r="K1287" s="1860"/>
      <c r="L1287" s="1854">
        <v>13121007001</v>
      </c>
      <c r="M1287" s="1855">
        <v>0</v>
      </c>
      <c r="N1287" s="1855">
        <v>0</v>
      </c>
      <c r="O1287" s="1856">
        <v>0</v>
      </c>
    </row>
    <row r="1288" spans="3:15" ht="13.5">
      <c r="C1288" s="1861" t="s">
        <v>5078</v>
      </c>
      <c r="D1288" s="1858">
        <v>0</v>
      </c>
      <c r="E1288" s="1858">
        <v>0</v>
      </c>
      <c r="F1288" s="1859">
        <v>0</v>
      </c>
      <c r="G1288" s="1872" t="s">
        <v>5078</v>
      </c>
      <c r="H1288" s="1856">
        <v>0</v>
      </c>
      <c r="I1288" s="1856">
        <v>0</v>
      </c>
      <c r="J1288" s="1873">
        <v>0</v>
      </c>
      <c r="K1288" s="1860"/>
      <c r="L1288" s="1854">
        <v>13121007002</v>
      </c>
      <c r="M1288" s="1855">
        <v>0</v>
      </c>
      <c r="N1288" s="1855">
        <v>0</v>
      </c>
      <c r="O1288" s="1856">
        <v>0</v>
      </c>
    </row>
    <row r="1289" spans="3:15" ht="13.5">
      <c r="C1289" s="1861" t="s">
        <v>5079</v>
      </c>
      <c r="D1289" s="1858">
        <v>0</v>
      </c>
      <c r="E1289" s="1858">
        <v>0</v>
      </c>
      <c r="F1289" s="1859">
        <v>0</v>
      </c>
      <c r="G1289" s="1872" t="s">
        <v>5079</v>
      </c>
      <c r="H1289" s="1856">
        <v>0</v>
      </c>
      <c r="I1289" s="1856">
        <v>0</v>
      </c>
      <c r="J1289" s="1873">
        <v>0</v>
      </c>
      <c r="K1289" s="1860"/>
      <c r="L1289" s="1854">
        <v>13121007100</v>
      </c>
      <c r="M1289" s="1855">
        <v>0</v>
      </c>
      <c r="N1289" s="1855">
        <v>0</v>
      </c>
      <c r="O1289" s="1856">
        <v>0</v>
      </c>
    </row>
    <row r="1290" spans="3:15" ht="13.5">
      <c r="C1290" s="1861" t="s">
        <v>5080</v>
      </c>
      <c r="D1290" s="1858">
        <v>0</v>
      </c>
      <c r="E1290" s="1858">
        <v>0</v>
      </c>
      <c r="F1290" s="1859">
        <v>0</v>
      </c>
      <c r="G1290" s="1872" t="s">
        <v>5080</v>
      </c>
      <c r="H1290" s="1856">
        <v>0</v>
      </c>
      <c r="I1290" s="1856">
        <v>0</v>
      </c>
      <c r="J1290" s="1873">
        <v>0</v>
      </c>
      <c r="K1290" s="1860"/>
      <c r="L1290" s="1854">
        <v>13121007200</v>
      </c>
      <c r="M1290" s="1855">
        <v>0</v>
      </c>
      <c r="N1290" s="1855">
        <v>0</v>
      </c>
      <c r="O1290" s="1856">
        <v>0</v>
      </c>
    </row>
    <row r="1291" spans="3:15" ht="13.5">
      <c r="C1291" s="1861" t="s">
        <v>5081</v>
      </c>
      <c r="D1291" s="1858">
        <v>0</v>
      </c>
      <c r="E1291" s="1858">
        <v>0</v>
      </c>
      <c r="F1291" s="1859">
        <v>0</v>
      </c>
      <c r="G1291" s="1872" t="s">
        <v>5081</v>
      </c>
      <c r="H1291" s="1856">
        <v>0</v>
      </c>
      <c r="I1291" s="1856">
        <v>0</v>
      </c>
      <c r="J1291" s="1873">
        <v>0</v>
      </c>
      <c r="K1291" s="1860"/>
      <c r="L1291" s="1854">
        <v>13121007300</v>
      </c>
      <c r="M1291" s="1855">
        <v>0</v>
      </c>
      <c r="N1291" s="1855">
        <v>0</v>
      </c>
      <c r="O1291" s="1856">
        <v>0</v>
      </c>
    </row>
    <row r="1292" spans="3:15" ht="13.5">
      <c r="C1292" s="1861" t="s">
        <v>5082</v>
      </c>
      <c r="D1292" s="1858">
        <v>0</v>
      </c>
      <c r="E1292" s="1858">
        <v>0</v>
      </c>
      <c r="F1292" s="1859">
        <v>0</v>
      </c>
      <c r="G1292" s="1872" t="s">
        <v>5082</v>
      </c>
      <c r="H1292" s="1856">
        <v>0</v>
      </c>
      <c r="I1292" s="1856">
        <v>0</v>
      </c>
      <c r="J1292" s="1873">
        <v>0</v>
      </c>
      <c r="K1292" s="1860"/>
      <c r="L1292" s="1854">
        <v>13121007400</v>
      </c>
      <c r="M1292" s="1855">
        <v>0</v>
      </c>
      <c r="N1292" s="1855">
        <v>0</v>
      </c>
      <c r="O1292" s="1856">
        <v>0</v>
      </c>
    </row>
    <row r="1293" spans="3:15" ht="13.5">
      <c r="C1293" s="1861" t="s">
        <v>5083</v>
      </c>
      <c r="D1293" s="1858">
        <v>0</v>
      </c>
      <c r="E1293" s="1858">
        <v>0</v>
      </c>
      <c r="F1293" s="1859">
        <v>0</v>
      </c>
      <c r="G1293" s="1872" t="s">
        <v>5083</v>
      </c>
      <c r="H1293" s="1856">
        <v>0</v>
      </c>
      <c r="I1293" s="1856">
        <v>0</v>
      </c>
      <c r="J1293" s="1873">
        <v>0</v>
      </c>
      <c r="K1293" s="1860"/>
      <c r="L1293" s="1854">
        <v>13121007500</v>
      </c>
      <c r="M1293" s="1855">
        <v>0</v>
      </c>
      <c r="N1293" s="1855">
        <v>0</v>
      </c>
      <c r="O1293" s="1856">
        <v>0</v>
      </c>
    </row>
    <row r="1294" spans="3:15" ht="13.5">
      <c r="C1294" s="1861" t="s">
        <v>5084</v>
      </c>
      <c r="D1294" s="1858">
        <v>0</v>
      </c>
      <c r="E1294" s="1858">
        <v>0</v>
      </c>
      <c r="F1294" s="1859">
        <v>0</v>
      </c>
      <c r="G1294" s="1872" t="s">
        <v>5084</v>
      </c>
      <c r="H1294" s="1856">
        <v>0</v>
      </c>
      <c r="I1294" s="1856">
        <v>0</v>
      </c>
      <c r="J1294" s="1873">
        <v>0</v>
      </c>
      <c r="K1294" s="1860"/>
      <c r="L1294" s="1854">
        <v>13121007602</v>
      </c>
      <c r="M1294" s="1855">
        <v>0</v>
      </c>
      <c r="N1294" s="1855">
        <v>0</v>
      </c>
      <c r="O1294" s="1856">
        <v>0</v>
      </c>
    </row>
    <row r="1295" spans="3:15" ht="13.5">
      <c r="C1295" s="1861" t="s">
        <v>5085</v>
      </c>
      <c r="D1295" s="1858">
        <v>0</v>
      </c>
      <c r="E1295" s="1858">
        <v>0</v>
      </c>
      <c r="F1295" s="1859">
        <v>0</v>
      </c>
      <c r="G1295" s="1872" t="s">
        <v>5085</v>
      </c>
      <c r="H1295" s="1856">
        <v>0</v>
      </c>
      <c r="I1295" s="1856">
        <v>0</v>
      </c>
      <c r="J1295" s="1873">
        <v>0</v>
      </c>
      <c r="K1295" s="1860"/>
      <c r="L1295" s="1854">
        <v>13121007603</v>
      </c>
      <c r="M1295" s="1855">
        <v>0</v>
      </c>
      <c r="N1295" s="1855">
        <v>0</v>
      </c>
      <c r="O1295" s="1856">
        <v>0</v>
      </c>
    </row>
    <row r="1296" spans="3:15" ht="13.5">
      <c r="C1296" s="1861" t="s">
        <v>5086</v>
      </c>
      <c r="D1296" s="1858">
        <v>0</v>
      </c>
      <c r="E1296" s="1858">
        <v>0</v>
      </c>
      <c r="F1296" s="1859">
        <v>0</v>
      </c>
      <c r="G1296" s="1872" t="s">
        <v>5086</v>
      </c>
      <c r="H1296" s="1856">
        <v>0</v>
      </c>
      <c r="I1296" s="1856" t="s">
        <v>3909</v>
      </c>
      <c r="J1296" s="1873">
        <v>0</v>
      </c>
      <c r="K1296" s="1860"/>
      <c r="L1296" s="1854">
        <v>13121007604</v>
      </c>
      <c r="M1296" s="1855">
        <v>0</v>
      </c>
      <c r="N1296" s="1855">
        <v>0</v>
      </c>
      <c r="O1296" s="1856">
        <v>0</v>
      </c>
    </row>
    <row r="1297" spans="3:15" ht="13.5">
      <c r="C1297" s="1861" t="s">
        <v>5087</v>
      </c>
      <c r="D1297" s="1858">
        <v>0</v>
      </c>
      <c r="E1297" s="1858">
        <v>0</v>
      </c>
      <c r="F1297" s="1859">
        <v>0</v>
      </c>
      <c r="G1297" s="1872" t="s">
        <v>5087</v>
      </c>
      <c r="H1297" s="1856">
        <v>0</v>
      </c>
      <c r="I1297" s="1856">
        <v>0</v>
      </c>
      <c r="J1297" s="1873">
        <v>0</v>
      </c>
      <c r="K1297" s="1860"/>
      <c r="L1297" s="1854">
        <v>13121007703</v>
      </c>
      <c r="M1297" s="1855">
        <v>0</v>
      </c>
      <c r="N1297" s="1855">
        <v>0</v>
      </c>
      <c r="O1297" s="1856">
        <v>0</v>
      </c>
    </row>
    <row r="1298" spans="3:15" ht="13.5">
      <c r="C1298" s="1861" t="s">
        <v>5088</v>
      </c>
      <c r="D1298" s="1858">
        <v>0</v>
      </c>
      <c r="E1298" s="1858">
        <v>0</v>
      </c>
      <c r="F1298" s="1859">
        <v>0</v>
      </c>
      <c r="G1298" s="1872" t="s">
        <v>5088</v>
      </c>
      <c r="H1298" s="1856">
        <v>0</v>
      </c>
      <c r="I1298" s="1856">
        <v>0</v>
      </c>
      <c r="J1298" s="1873">
        <v>0</v>
      </c>
      <c r="K1298" s="1860"/>
      <c r="L1298" s="1854">
        <v>13121007704</v>
      </c>
      <c r="M1298" s="1855">
        <v>0</v>
      </c>
      <c r="N1298" s="1855">
        <v>0</v>
      </c>
      <c r="O1298" s="1856">
        <v>0</v>
      </c>
    </row>
    <row r="1299" spans="3:15" ht="13.5">
      <c r="C1299" s="1861" t="s">
        <v>5089</v>
      </c>
      <c r="D1299" s="1858">
        <v>0</v>
      </c>
      <c r="E1299" s="1858">
        <v>0</v>
      </c>
      <c r="F1299" s="1859">
        <v>0</v>
      </c>
      <c r="G1299" s="1872" t="s">
        <v>5089</v>
      </c>
      <c r="H1299" s="1856">
        <v>0</v>
      </c>
      <c r="I1299" s="1856">
        <v>0</v>
      </c>
      <c r="J1299" s="1873">
        <v>0</v>
      </c>
      <c r="K1299" s="1860"/>
      <c r="L1299" s="1854">
        <v>13121007705</v>
      </c>
      <c r="M1299" s="1855">
        <v>0</v>
      </c>
      <c r="N1299" s="1855">
        <v>0</v>
      </c>
      <c r="O1299" s="1856">
        <v>0</v>
      </c>
    </row>
    <row r="1300" spans="3:15" ht="13.5">
      <c r="C1300" s="1861" t="s">
        <v>5090</v>
      </c>
      <c r="D1300" s="1858">
        <v>0</v>
      </c>
      <c r="E1300" s="1858">
        <v>0</v>
      </c>
      <c r="F1300" s="1859">
        <v>0</v>
      </c>
      <c r="G1300" s="1872" t="s">
        <v>5090</v>
      </c>
      <c r="H1300" s="1856">
        <v>0</v>
      </c>
      <c r="I1300" s="1856">
        <v>1</v>
      </c>
      <c r="J1300" s="1873">
        <v>1</v>
      </c>
      <c r="K1300" s="1860"/>
      <c r="L1300" s="1854">
        <v>13121007706</v>
      </c>
      <c r="M1300" s="1855">
        <v>0</v>
      </c>
      <c r="N1300" s="1855">
        <v>1</v>
      </c>
      <c r="O1300" s="1856">
        <v>1</v>
      </c>
    </row>
    <row r="1301" spans="3:15" ht="13.5">
      <c r="C1301" s="1861" t="s">
        <v>5091</v>
      </c>
      <c r="D1301" s="1858">
        <v>0</v>
      </c>
      <c r="E1301" s="1858">
        <v>0</v>
      </c>
      <c r="F1301" s="1859">
        <v>0</v>
      </c>
      <c r="G1301" s="1872" t="s">
        <v>5091</v>
      </c>
      <c r="H1301" s="1856">
        <v>0</v>
      </c>
      <c r="I1301" s="1856">
        <v>0</v>
      </c>
      <c r="J1301" s="1873">
        <v>0</v>
      </c>
      <c r="K1301" s="1860"/>
      <c r="L1301" s="1854">
        <v>13121007802</v>
      </c>
      <c r="M1301" s="1855">
        <v>0</v>
      </c>
      <c r="N1301" s="1855">
        <v>0</v>
      </c>
      <c r="O1301" s="1856">
        <v>0</v>
      </c>
    </row>
    <row r="1302" spans="3:15" ht="13.5">
      <c r="C1302" s="1861" t="s">
        <v>5092</v>
      </c>
      <c r="D1302" s="1858">
        <v>0</v>
      </c>
      <c r="E1302" s="1858">
        <v>0</v>
      </c>
      <c r="F1302" s="1859">
        <v>0</v>
      </c>
      <c r="G1302" s="1872" t="s">
        <v>5092</v>
      </c>
      <c r="H1302" s="1856">
        <v>0</v>
      </c>
      <c r="I1302" s="1856">
        <v>0</v>
      </c>
      <c r="J1302" s="1873">
        <v>0</v>
      </c>
      <c r="K1302" s="1860"/>
      <c r="L1302" s="1854">
        <v>13121007805</v>
      </c>
      <c r="M1302" s="1855">
        <v>0</v>
      </c>
      <c r="N1302" s="1855">
        <v>0</v>
      </c>
      <c r="O1302" s="1856">
        <v>0</v>
      </c>
    </row>
    <row r="1303" spans="3:15" ht="13.5">
      <c r="C1303" s="1861" t="s">
        <v>5093</v>
      </c>
      <c r="D1303" s="1858">
        <v>0</v>
      </c>
      <c r="E1303" s="1858">
        <v>0</v>
      </c>
      <c r="F1303" s="1859">
        <v>0</v>
      </c>
      <c r="G1303" s="1872" t="s">
        <v>5093</v>
      </c>
      <c r="H1303" s="1856">
        <v>0</v>
      </c>
      <c r="I1303" s="1856">
        <v>1</v>
      </c>
      <c r="J1303" s="1873">
        <v>1</v>
      </c>
      <c r="K1303" s="1860"/>
      <c r="L1303" s="1854">
        <v>13121007806</v>
      </c>
      <c r="M1303" s="1855">
        <v>0</v>
      </c>
      <c r="N1303" s="1855">
        <v>1</v>
      </c>
      <c r="O1303" s="1856">
        <v>1</v>
      </c>
    </row>
    <row r="1304" spans="3:15" ht="13.5">
      <c r="C1304" s="1861" t="s">
        <v>5094</v>
      </c>
      <c r="D1304" s="1858">
        <v>0</v>
      </c>
      <c r="E1304" s="1858">
        <v>0</v>
      </c>
      <c r="F1304" s="1859">
        <v>0</v>
      </c>
      <c r="G1304" s="1872" t="s">
        <v>5094</v>
      </c>
      <c r="H1304" s="1856">
        <v>0</v>
      </c>
      <c r="I1304" s="1856">
        <v>0</v>
      </c>
      <c r="J1304" s="1873">
        <v>0</v>
      </c>
      <c r="K1304" s="1860"/>
      <c r="L1304" s="1854">
        <v>13121007807</v>
      </c>
      <c r="M1304" s="1855">
        <v>0</v>
      </c>
      <c r="N1304" s="1855">
        <v>0</v>
      </c>
      <c r="O1304" s="1856">
        <v>0</v>
      </c>
    </row>
    <row r="1305" spans="3:15" ht="13.5">
      <c r="C1305" s="1861" t="s">
        <v>5095</v>
      </c>
      <c r="D1305" s="1858">
        <v>0</v>
      </c>
      <c r="E1305" s="1858">
        <v>0</v>
      </c>
      <c r="F1305" s="1859">
        <v>0</v>
      </c>
      <c r="G1305" s="1872" t="s">
        <v>5095</v>
      </c>
      <c r="H1305" s="1856">
        <v>0</v>
      </c>
      <c r="I1305" s="1856">
        <v>0</v>
      </c>
      <c r="J1305" s="1873">
        <v>0</v>
      </c>
      <c r="K1305" s="1860"/>
      <c r="L1305" s="1854">
        <v>13121007808</v>
      </c>
      <c r="M1305" s="1855">
        <v>0</v>
      </c>
      <c r="N1305" s="1855">
        <v>0</v>
      </c>
      <c r="O1305" s="1856">
        <v>0</v>
      </c>
    </row>
    <row r="1306" spans="3:15" ht="13.5">
      <c r="C1306" s="1861" t="s">
        <v>5096</v>
      </c>
      <c r="D1306" s="1858">
        <v>0</v>
      </c>
      <c r="E1306" s="1858">
        <v>0</v>
      </c>
      <c r="F1306" s="1859">
        <v>0</v>
      </c>
      <c r="G1306" s="1872" t="s">
        <v>5096</v>
      </c>
      <c r="H1306" s="1856">
        <v>1</v>
      </c>
      <c r="I1306" s="1856">
        <v>1</v>
      </c>
      <c r="J1306" s="1873">
        <v>2</v>
      </c>
      <c r="K1306" s="1860"/>
      <c r="L1306" s="1854">
        <v>13121007900</v>
      </c>
      <c r="M1306" s="1855">
        <v>1</v>
      </c>
      <c r="N1306" s="1855">
        <v>1</v>
      </c>
      <c r="O1306" s="1856">
        <v>2</v>
      </c>
    </row>
    <row r="1307" spans="3:15" ht="13.5">
      <c r="C1307" s="1861" t="s">
        <v>5097</v>
      </c>
      <c r="D1307" s="1858">
        <v>0</v>
      </c>
      <c r="E1307" s="1858">
        <v>0</v>
      </c>
      <c r="F1307" s="1859">
        <v>0</v>
      </c>
      <c r="G1307" s="1872" t="s">
        <v>5097</v>
      </c>
      <c r="H1307" s="1856">
        <v>0</v>
      </c>
      <c r="I1307" s="1856">
        <v>0</v>
      </c>
      <c r="J1307" s="1873">
        <v>0</v>
      </c>
      <c r="K1307" s="1860"/>
      <c r="L1307" s="1854">
        <v>13121008000</v>
      </c>
      <c r="M1307" s="1855">
        <v>0</v>
      </c>
      <c r="N1307" s="1855">
        <v>0</v>
      </c>
      <c r="O1307" s="1856">
        <v>0</v>
      </c>
    </row>
    <row r="1308" spans="3:15" ht="13.5">
      <c r="C1308" s="1861" t="s">
        <v>5098</v>
      </c>
      <c r="D1308" s="1858">
        <v>0</v>
      </c>
      <c r="E1308" s="1858">
        <v>0</v>
      </c>
      <c r="F1308" s="1859">
        <v>0</v>
      </c>
      <c r="G1308" s="1872" t="s">
        <v>5098</v>
      </c>
      <c r="H1308" s="1856">
        <v>0</v>
      </c>
      <c r="I1308" s="1856">
        <v>0</v>
      </c>
      <c r="J1308" s="1873">
        <v>0</v>
      </c>
      <c r="K1308" s="1860"/>
      <c r="L1308" s="1854">
        <v>13121008101</v>
      </c>
      <c r="M1308" s="1855">
        <v>0</v>
      </c>
      <c r="N1308" s="1855">
        <v>0</v>
      </c>
      <c r="O1308" s="1856">
        <v>0</v>
      </c>
    </row>
    <row r="1309" spans="3:15" ht="13.5">
      <c r="C1309" s="1861" t="s">
        <v>5099</v>
      </c>
      <c r="D1309" s="1858">
        <v>0</v>
      </c>
      <c r="E1309" s="1858">
        <v>0</v>
      </c>
      <c r="F1309" s="1859">
        <v>0</v>
      </c>
      <c r="G1309" s="1872" t="s">
        <v>5099</v>
      </c>
      <c r="H1309" s="1856">
        <v>0</v>
      </c>
      <c r="I1309" s="1856">
        <v>0</v>
      </c>
      <c r="J1309" s="1873">
        <v>0</v>
      </c>
      <c r="K1309" s="1860"/>
      <c r="L1309" s="1854">
        <v>13121008102</v>
      </c>
      <c r="M1309" s="1855">
        <v>0</v>
      </c>
      <c r="N1309" s="1855">
        <v>0</v>
      </c>
      <c r="O1309" s="1856">
        <v>0</v>
      </c>
    </row>
    <row r="1310" spans="3:15" ht="13.5">
      <c r="C1310" s="1861" t="s">
        <v>5100</v>
      </c>
      <c r="D1310" s="1858">
        <v>0</v>
      </c>
      <c r="E1310" s="1858">
        <v>0</v>
      </c>
      <c r="F1310" s="1859">
        <v>0</v>
      </c>
      <c r="G1310" s="1872" t="s">
        <v>5100</v>
      </c>
      <c r="H1310" s="1856">
        <v>0</v>
      </c>
      <c r="I1310" s="1856">
        <v>0</v>
      </c>
      <c r="J1310" s="1873">
        <v>0</v>
      </c>
      <c r="K1310" s="1860"/>
      <c r="L1310" s="1854">
        <v>13121008201</v>
      </c>
      <c r="M1310" s="1855">
        <v>0</v>
      </c>
      <c r="N1310" s="1855">
        <v>0</v>
      </c>
      <c r="O1310" s="1856">
        <v>0</v>
      </c>
    </row>
    <row r="1311" spans="3:15" ht="13.5">
      <c r="C1311" s="1861" t="s">
        <v>5101</v>
      </c>
      <c r="D1311" s="1858">
        <v>0</v>
      </c>
      <c r="E1311" s="1858">
        <v>0</v>
      </c>
      <c r="F1311" s="1859">
        <v>0</v>
      </c>
      <c r="G1311" s="1872" t="s">
        <v>5101</v>
      </c>
      <c r="H1311" s="1856">
        <v>0</v>
      </c>
      <c r="I1311" s="1856">
        <v>0</v>
      </c>
      <c r="J1311" s="1873">
        <v>0</v>
      </c>
      <c r="K1311" s="1860"/>
      <c r="L1311" s="1854">
        <v>13121008202</v>
      </c>
      <c r="M1311" s="1855">
        <v>0</v>
      </c>
      <c r="N1311" s="1855">
        <v>0</v>
      </c>
      <c r="O1311" s="1856">
        <v>0</v>
      </c>
    </row>
    <row r="1312" spans="3:15" ht="13.5">
      <c r="C1312" s="1861" t="s">
        <v>5102</v>
      </c>
      <c r="D1312" s="1858">
        <v>0</v>
      </c>
      <c r="E1312" s="1858">
        <v>0</v>
      </c>
      <c r="F1312" s="1859">
        <v>0</v>
      </c>
      <c r="G1312" s="1872" t="s">
        <v>5102</v>
      </c>
      <c r="H1312" s="1856">
        <v>0</v>
      </c>
      <c r="I1312" s="1856" t="s">
        <v>3909</v>
      </c>
      <c r="J1312" s="1873">
        <v>0</v>
      </c>
      <c r="K1312" s="1860"/>
      <c r="L1312" s="1854">
        <v>13121008301</v>
      </c>
      <c r="M1312" s="1855">
        <v>0</v>
      </c>
      <c r="N1312" s="1855">
        <v>0</v>
      </c>
      <c r="O1312" s="1856">
        <v>0</v>
      </c>
    </row>
    <row r="1313" spans="3:15" ht="13.5">
      <c r="C1313" s="1861" t="s">
        <v>5103</v>
      </c>
      <c r="D1313" s="1858">
        <v>0</v>
      </c>
      <c r="E1313" s="1858">
        <v>0</v>
      </c>
      <c r="F1313" s="1859">
        <v>0</v>
      </c>
      <c r="G1313" s="1872" t="s">
        <v>5103</v>
      </c>
      <c r="H1313" s="1856">
        <v>0</v>
      </c>
      <c r="I1313" s="1856" t="s">
        <v>3909</v>
      </c>
      <c r="J1313" s="1873">
        <v>0</v>
      </c>
      <c r="K1313" s="1860"/>
      <c r="L1313" s="1854">
        <v>13121008302</v>
      </c>
      <c r="M1313" s="1855">
        <v>0</v>
      </c>
      <c r="N1313" s="1855">
        <v>0</v>
      </c>
      <c r="O1313" s="1856">
        <v>0</v>
      </c>
    </row>
    <row r="1314" spans="3:15" ht="13.5">
      <c r="C1314" s="1861" t="s">
        <v>5104</v>
      </c>
      <c r="D1314" s="1858">
        <v>0</v>
      </c>
      <c r="E1314" s="1858">
        <v>0</v>
      </c>
      <c r="F1314" s="1859">
        <v>0</v>
      </c>
      <c r="G1314" s="1872" t="s">
        <v>5104</v>
      </c>
      <c r="H1314" s="1856">
        <v>0</v>
      </c>
      <c r="I1314" s="1856">
        <v>0</v>
      </c>
      <c r="J1314" s="1873">
        <v>0</v>
      </c>
      <c r="K1314" s="1860"/>
      <c r="L1314" s="1854">
        <v>13121008400</v>
      </c>
      <c r="M1314" s="1855">
        <v>0</v>
      </c>
      <c r="N1314" s="1855">
        <v>0</v>
      </c>
      <c r="O1314" s="1856">
        <v>0</v>
      </c>
    </row>
    <row r="1315" spans="3:15" ht="13.5">
      <c r="C1315" s="1861" t="s">
        <v>5105</v>
      </c>
      <c r="D1315" s="1858">
        <v>0</v>
      </c>
      <c r="E1315" s="1858">
        <v>0</v>
      </c>
      <c r="F1315" s="1859">
        <v>0</v>
      </c>
      <c r="G1315" s="1872" t="s">
        <v>5105</v>
      </c>
      <c r="H1315" s="1856">
        <v>0</v>
      </c>
      <c r="I1315" s="1856">
        <v>0</v>
      </c>
      <c r="J1315" s="1873">
        <v>0</v>
      </c>
      <c r="K1315" s="1860"/>
      <c r="L1315" s="1854">
        <v>13121008500</v>
      </c>
      <c r="M1315" s="1855">
        <v>0</v>
      </c>
      <c r="N1315" s="1855">
        <v>0</v>
      </c>
      <c r="O1315" s="1856">
        <v>0</v>
      </c>
    </row>
    <row r="1316" spans="3:15" ht="13.5">
      <c r="C1316" s="1861" t="s">
        <v>5106</v>
      </c>
      <c r="D1316" s="1858">
        <v>0</v>
      </c>
      <c r="E1316" s="1858">
        <v>0</v>
      </c>
      <c r="F1316" s="1859">
        <v>0</v>
      </c>
      <c r="G1316" s="1872" t="s">
        <v>5106</v>
      </c>
      <c r="H1316" s="1856">
        <v>0</v>
      </c>
      <c r="I1316" s="1856">
        <v>0</v>
      </c>
      <c r="J1316" s="1873">
        <v>0</v>
      </c>
      <c r="K1316" s="1860"/>
      <c r="L1316" s="1854">
        <v>13121008601</v>
      </c>
      <c r="M1316" s="1855">
        <v>0</v>
      </c>
      <c r="N1316" s="1855">
        <v>0</v>
      </c>
      <c r="O1316" s="1856">
        <v>0</v>
      </c>
    </row>
    <row r="1317" spans="3:15" ht="13.5">
      <c r="C1317" s="1861" t="s">
        <v>5107</v>
      </c>
      <c r="D1317" s="1858">
        <v>0</v>
      </c>
      <c r="E1317" s="1858">
        <v>0</v>
      </c>
      <c r="F1317" s="1859">
        <v>0</v>
      </c>
      <c r="G1317" s="1872" t="s">
        <v>5107</v>
      </c>
      <c r="H1317" s="1856">
        <v>0</v>
      </c>
      <c r="I1317" s="1856" t="s">
        <v>3909</v>
      </c>
      <c r="J1317" s="1873">
        <v>0</v>
      </c>
      <c r="K1317" s="1860"/>
      <c r="L1317" s="1854">
        <v>13121008602</v>
      </c>
      <c r="M1317" s="1855">
        <v>0</v>
      </c>
      <c r="N1317" s="1855">
        <v>0</v>
      </c>
      <c r="O1317" s="1856">
        <v>0</v>
      </c>
    </row>
    <row r="1318" spans="3:15" ht="13.5">
      <c r="C1318" s="1861" t="s">
        <v>5108</v>
      </c>
      <c r="D1318" s="1858">
        <v>0</v>
      </c>
      <c r="E1318" s="1858">
        <v>0</v>
      </c>
      <c r="F1318" s="1859">
        <v>0</v>
      </c>
      <c r="G1318" s="1872" t="s">
        <v>5108</v>
      </c>
      <c r="H1318" s="1856">
        <v>0</v>
      </c>
      <c r="I1318" s="1856">
        <v>0</v>
      </c>
      <c r="J1318" s="1873">
        <v>0</v>
      </c>
      <c r="K1318" s="1860"/>
      <c r="L1318" s="1854">
        <v>13121008700</v>
      </c>
      <c r="M1318" s="1855">
        <v>0</v>
      </c>
      <c r="N1318" s="1855">
        <v>0</v>
      </c>
      <c r="O1318" s="1856">
        <v>0</v>
      </c>
    </row>
    <row r="1319" spans="3:15" ht="13.5">
      <c r="C1319" s="1861" t="s">
        <v>5109</v>
      </c>
      <c r="D1319" s="1858">
        <v>1</v>
      </c>
      <c r="E1319" s="1858">
        <v>1</v>
      </c>
      <c r="F1319" s="1859">
        <v>2</v>
      </c>
      <c r="G1319" s="1872" t="s">
        <v>5109</v>
      </c>
      <c r="H1319" s="1856">
        <v>1</v>
      </c>
      <c r="I1319" s="1856" t="s">
        <v>3909</v>
      </c>
      <c r="J1319" s="1873">
        <v>1</v>
      </c>
      <c r="K1319" s="1860"/>
      <c r="L1319" s="1854">
        <v>13121008800</v>
      </c>
      <c r="M1319" s="1855">
        <v>1</v>
      </c>
      <c r="N1319" s="1855">
        <v>1</v>
      </c>
      <c r="O1319" s="1856">
        <v>2</v>
      </c>
    </row>
    <row r="1320" spans="3:15" ht="13.5">
      <c r="C1320" s="1861" t="s">
        <v>5110</v>
      </c>
      <c r="D1320" s="1858">
        <v>1</v>
      </c>
      <c r="E1320" s="1858">
        <v>1</v>
      </c>
      <c r="F1320" s="1859">
        <v>2</v>
      </c>
      <c r="G1320" s="1872" t="s">
        <v>5110</v>
      </c>
      <c r="H1320" s="1856">
        <v>1</v>
      </c>
      <c r="I1320" s="1856">
        <v>1</v>
      </c>
      <c r="J1320" s="1873">
        <v>2</v>
      </c>
      <c r="K1320" s="1860"/>
      <c r="L1320" s="1854">
        <v>13121008902</v>
      </c>
      <c r="M1320" s="1855">
        <v>1</v>
      </c>
      <c r="N1320" s="1855">
        <v>1</v>
      </c>
      <c r="O1320" s="1856">
        <v>2</v>
      </c>
    </row>
    <row r="1321" spans="3:15" ht="13.5">
      <c r="C1321" s="1861" t="s">
        <v>5111</v>
      </c>
      <c r="D1321" s="1858">
        <v>1</v>
      </c>
      <c r="E1321" s="1858">
        <v>0</v>
      </c>
      <c r="F1321" s="1859">
        <v>1</v>
      </c>
      <c r="G1321" s="1872" t="s">
        <v>5111</v>
      </c>
      <c r="H1321" s="1856">
        <v>1</v>
      </c>
      <c r="I1321" s="1856" t="s">
        <v>3909</v>
      </c>
      <c r="J1321" s="1873">
        <v>1</v>
      </c>
      <c r="K1321" s="1860"/>
      <c r="L1321" s="1854">
        <v>13121008903</v>
      </c>
      <c r="M1321" s="1855">
        <v>1</v>
      </c>
      <c r="N1321" s="1855">
        <v>0</v>
      </c>
      <c r="O1321" s="1856">
        <v>1</v>
      </c>
    </row>
    <row r="1322" spans="3:15" ht="13.5">
      <c r="C1322" s="1861" t="s">
        <v>5112</v>
      </c>
      <c r="D1322" s="1858">
        <v>1</v>
      </c>
      <c r="E1322" s="1858">
        <v>1</v>
      </c>
      <c r="F1322" s="1859">
        <v>2</v>
      </c>
      <c r="G1322" s="1872" t="s">
        <v>5112</v>
      </c>
      <c r="H1322" s="1856">
        <v>1</v>
      </c>
      <c r="I1322" s="1856">
        <v>1</v>
      </c>
      <c r="J1322" s="1873">
        <v>2</v>
      </c>
      <c r="K1322" s="1860"/>
      <c r="L1322" s="1854">
        <v>13121008904</v>
      </c>
      <c r="M1322" s="1855">
        <v>1</v>
      </c>
      <c r="N1322" s="1855">
        <v>1</v>
      </c>
      <c r="O1322" s="1856">
        <v>2</v>
      </c>
    </row>
    <row r="1323" spans="3:15" ht="13.5">
      <c r="C1323" s="1861" t="s">
        <v>5113</v>
      </c>
      <c r="D1323" s="1858">
        <v>1</v>
      </c>
      <c r="E1323" s="1858">
        <v>1</v>
      </c>
      <c r="F1323" s="1859">
        <v>2</v>
      </c>
      <c r="G1323" s="1872" t="s">
        <v>5113</v>
      </c>
      <c r="H1323" s="1856">
        <v>1</v>
      </c>
      <c r="I1323" s="1856">
        <v>1</v>
      </c>
      <c r="J1323" s="1873">
        <v>2</v>
      </c>
      <c r="K1323" s="1860"/>
      <c r="L1323" s="1854">
        <v>13121009000</v>
      </c>
      <c r="M1323" s="1855">
        <v>1</v>
      </c>
      <c r="N1323" s="1855">
        <v>1</v>
      </c>
      <c r="O1323" s="1856">
        <v>2</v>
      </c>
    </row>
    <row r="1324" spans="3:15" ht="13.5">
      <c r="C1324" s="1861" t="s">
        <v>5114</v>
      </c>
      <c r="D1324" s="1858">
        <v>1</v>
      </c>
      <c r="E1324" s="1858">
        <v>1</v>
      </c>
      <c r="F1324" s="1859">
        <v>2</v>
      </c>
      <c r="G1324" s="1872" t="s">
        <v>5114</v>
      </c>
      <c r="H1324" s="1856">
        <v>1</v>
      </c>
      <c r="I1324" s="1856">
        <v>1</v>
      </c>
      <c r="J1324" s="1873">
        <v>2</v>
      </c>
      <c r="K1324" s="1860"/>
      <c r="L1324" s="1854">
        <v>13121009101</v>
      </c>
      <c r="M1324" s="1855">
        <v>1</v>
      </c>
      <c r="N1324" s="1855">
        <v>1</v>
      </c>
      <c r="O1324" s="1856">
        <v>2</v>
      </c>
    </row>
    <row r="1325" spans="3:15" ht="13.5">
      <c r="C1325" s="1861" t="s">
        <v>5115</v>
      </c>
      <c r="D1325" s="1858">
        <v>1</v>
      </c>
      <c r="E1325" s="1858">
        <v>1</v>
      </c>
      <c r="F1325" s="1859">
        <v>2</v>
      </c>
      <c r="G1325" s="1872" t="s">
        <v>5115</v>
      </c>
      <c r="H1325" s="1856">
        <v>1</v>
      </c>
      <c r="I1325" s="1856">
        <v>1</v>
      </c>
      <c r="J1325" s="1873">
        <v>2</v>
      </c>
      <c r="K1325" s="1860"/>
      <c r="L1325" s="1854">
        <v>13121009102</v>
      </c>
      <c r="M1325" s="1855">
        <v>1</v>
      </c>
      <c r="N1325" s="1855">
        <v>1</v>
      </c>
      <c r="O1325" s="1856">
        <v>2</v>
      </c>
    </row>
    <row r="1326" spans="3:15" ht="13.5">
      <c r="C1326" s="1861" t="s">
        <v>5116</v>
      </c>
      <c r="D1326" s="1858">
        <v>1</v>
      </c>
      <c r="E1326" s="1858">
        <v>0</v>
      </c>
      <c r="F1326" s="1859">
        <v>1</v>
      </c>
      <c r="G1326" s="1872" t="s">
        <v>5116</v>
      </c>
      <c r="H1326" s="1856">
        <v>1</v>
      </c>
      <c r="I1326" s="1856">
        <v>1</v>
      </c>
      <c r="J1326" s="1873">
        <v>2</v>
      </c>
      <c r="K1326" s="1860"/>
      <c r="L1326" s="1854">
        <v>13121009200</v>
      </c>
      <c r="M1326" s="1855">
        <v>1</v>
      </c>
      <c r="N1326" s="1855">
        <v>1</v>
      </c>
      <c r="O1326" s="1856">
        <v>2</v>
      </c>
    </row>
    <row r="1327" spans="3:15" ht="13.5">
      <c r="C1327" s="1861" t="s">
        <v>5117</v>
      </c>
      <c r="D1327" s="1858">
        <v>1</v>
      </c>
      <c r="E1327" s="1858">
        <v>1</v>
      </c>
      <c r="F1327" s="1859">
        <v>2</v>
      </c>
      <c r="G1327" s="1872" t="s">
        <v>5117</v>
      </c>
      <c r="H1327" s="1856">
        <v>1</v>
      </c>
      <c r="I1327" s="1856">
        <v>1</v>
      </c>
      <c r="J1327" s="1873">
        <v>2</v>
      </c>
      <c r="K1327" s="1860"/>
      <c r="L1327" s="1854">
        <v>13121009300</v>
      </c>
      <c r="M1327" s="1855">
        <v>1</v>
      </c>
      <c r="N1327" s="1855">
        <v>1</v>
      </c>
      <c r="O1327" s="1856">
        <v>2</v>
      </c>
    </row>
    <row r="1328" spans="3:15" ht="13.5">
      <c r="C1328" s="1861" t="s">
        <v>5118</v>
      </c>
      <c r="D1328" s="1858">
        <v>1</v>
      </c>
      <c r="E1328" s="1858">
        <v>1</v>
      </c>
      <c r="F1328" s="1859">
        <v>2</v>
      </c>
      <c r="G1328" s="1872" t="s">
        <v>5118</v>
      </c>
      <c r="H1328" s="1856">
        <v>1</v>
      </c>
      <c r="I1328" s="1856" t="s">
        <v>3909</v>
      </c>
      <c r="J1328" s="1873">
        <v>1</v>
      </c>
      <c r="K1328" s="1860"/>
      <c r="L1328" s="1854">
        <v>13121009402</v>
      </c>
      <c r="M1328" s="1855">
        <v>1</v>
      </c>
      <c r="N1328" s="1855">
        <v>1</v>
      </c>
      <c r="O1328" s="1856">
        <v>2</v>
      </c>
    </row>
    <row r="1329" spans="3:15" ht="13.5">
      <c r="C1329" s="1861" t="s">
        <v>5119</v>
      </c>
      <c r="D1329" s="1858">
        <v>1</v>
      </c>
      <c r="E1329" s="1858">
        <v>1</v>
      </c>
      <c r="F1329" s="1859">
        <v>2</v>
      </c>
      <c r="G1329" s="1872" t="s">
        <v>5119</v>
      </c>
      <c r="H1329" s="1856">
        <v>1</v>
      </c>
      <c r="I1329" s="1856">
        <v>1</v>
      </c>
      <c r="J1329" s="1873">
        <v>2</v>
      </c>
      <c r="K1329" s="1860"/>
      <c r="L1329" s="1854">
        <v>13121009403</v>
      </c>
      <c r="M1329" s="1855">
        <v>1</v>
      </c>
      <c r="N1329" s="1855">
        <v>1</v>
      </c>
      <c r="O1329" s="1856">
        <v>2</v>
      </c>
    </row>
    <row r="1330" spans="3:15" ht="13.5">
      <c r="C1330" s="1861" t="s">
        <v>5120</v>
      </c>
      <c r="D1330" s="1858">
        <v>1</v>
      </c>
      <c r="E1330" s="1858">
        <v>1</v>
      </c>
      <c r="F1330" s="1859">
        <v>2</v>
      </c>
      <c r="G1330" s="1872" t="s">
        <v>5120</v>
      </c>
      <c r="H1330" s="1856">
        <v>1</v>
      </c>
      <c r="I1330" s="1856">
        <v>1</v>
      </c>
      <c r="J1330" s="1873">
        <v>2</v>
      </c>
      <c r="K1330" s="1860"/>
      <c r="L1330" s="1854">
        <v>13121009404</v>
      </c>
      <c r="M1330" s="1855">
        <v>1</v>
      </c>
      <c r="N1330" s="1855">
        <v>1</v>
      </c>
      <c r="O1330" s="1856">
        <v>2</v>
      </c>
    </row>
    <row r="1331" spans="3:15" ht="13.5">
      <c r="C1331" s="1861" t="s">
        <v>5121</v>
      </c>
      <c r="D1331" s="1858">
        <v>1</v>
      </c>
      <c r="E1331" s="1858">
        <v>1</v>
      </c>
      <c r="F1331" s="1859">
        <v>2</v>
      </c>
      <c r="G1331" s="1872" t="s">
        <v>5121</v>
      </c>
      <c r="H1331" s="1856">
        <v>1</v>
      </c>
      <c r="I1331" s="1856">
        <v>1</v>
      </c>
      <c r="J1331" s="1873">
        <v>2</v>
      </c>
      <c r="K1331" s="1860"/>
      <c r="L1331" s="1854">
        <v>13121009501</v>
      </c>
      <c r="M1331" s="1855">
        <v>1</v>
      </c>
      <c r="N1331" s="1855">
        <v>1</v>
      </c>
      <c r="O1331" s="1856">
        <v>2</v>
      </c>
    </row>
    <row r="1332" spans="3:15" ht="13.5">
      <c r="C1332" s="1861" t="s">
        <v>5122</v>
      </c>
      <c r="D1332" s="1858">
        <v>1</v>
      </c>
      <c r="E1332" s="1858">
        <v>0</v>
      </c>
      <c r="F1332" s="1859">
        <v>1</v>
      </c>
      <c r="G1332" s="1872" t="s">
        <v>5122</v>
      </c>
      <c r="H1332" s="1856">
        <v>1</v>
      </c>
      <c r="I1332" s="1856" t="s">
        <v>3909</v>
      </c>
      <c r="J1332" s="1873">
        <v>1</v>
      </c>
      <c r="K1332" s="1860"/>
      <c r="L1332" s="1854">
        <v>13121009502</v>
      </c>
      <c r="M1332" s="1855">
        <v>1</v>
      </c>
      <c r="N1332" s="1855">
        <v>0</v>
      </c>
      <c r="O1332" s="1856">
        <v>1</v>
      </c>
    </row>
    <row r="1333" spans="3:15" ht="13.5">
      <c r="C1333" s="1861" t="s">
        <v>5123</v>
      </c>
      <c r="D1333" s="1858">
        <v>1</v>
      </c>
      <c r="E1333" s="1858">
        <v>1</v>
      </c>
      <c r="F1333" s="1859">
        <v>2</v>
      </c>
      <c r="G1333" s="1872" t="s">
        <v>5123</v>
      </c>
      <c r="H1333" s="1856">
        <v>1</v>
      </c>
      <c r="I1333" s="1856">
        <v>1</v>
      </c>
      <c r="J1333" s="1873">
        <v>2</v>
      </c>
      <c r="K1333" s="1860"/>
      <c r="L1333" s="1854">
        <v>13121009601</v>
      </c>
      <c r="M1333" s="1855">
        <v>1</v>
      </c>
      <c r="N1333" s="1855">
        <v>1</v>
      </c>
      <c r="O1333" s="1856">
        <v>2</v>
      </c>
    </row>
    <row r="1334" spans="3:15" ht="13.5">
      <c r="C1334" s="1861" t="s">
        <v>5124</v>
      </c>
      <c r="D1334" s="1858">
        <v>1</v>
      </c>
      <c r="E1334" s="1858">
        <v>1</v>
      </c>
      <c r="F1334" s="1859">
        <v>2</v>
      </c>
      <c r="G1334" s="1872" t="s">
        <v>5124</v>
      </c>
      <c r="H1334" s="1856">
        <v>1</v>
      </c>
      <c r="I1334" s="1856">
        <v>1</v>
      </c>
      <c r="J1334" s="1873">
        <v>2</v>
      </c>
      <c r="K1334" s="1860"/>
      <c r="L1334" s="1854">
        <v>13121009602</v>
      </c>
      <c r="M1334" s="1855">
        <v>1</v>
      </c>
      <c r="N1334" s="1855">
        <v>1</v>
      </c>
      <c r="O1334" s="1856">
        <v>2</v>
      </c>
    </row>
    <row r="1335" spans="3:15" ht="13.5">
      <c r="C1335" s="1861" t="s">
        <v>5125</v>
      </c>
      <c r="D1335" s="1858">
        <v>1</v>
      </c>
      <c r="E1335" s="1858">
        <v>1</v>
      </c>
      <c r="F1335" s="1859">
        <v>2</v>
      </c>
      <c r="G1335" s="1872" t="s">
        <v>5125</v>
      </c>
      <c r="H1335" s="1856">
        <v>1</v>
      </c>
      <c r="I1335" s="1856">
        <v>1</v>
      </c>
      <c r="J1335" s="1873">
        <v>2</v>
      </c>
      <c r="K1335" s="1860"/>
      <c r="L1335" s="1854">
        <v>13121009603</v>
      </c>
      <c r="M1335" s="1855">
        <v>1</v>
      </c>
      <c r="N1335" s="1855">
        <v>1</v>
      </c>
      <c r="O1335" s="1856">
        <v>2</v>
      </c>
    </row>
    <row r="1336" spans="3:15" ht="13.5">
      <c r="C1336" s="1861" t="s">
        <v>5126</v>
      </c>
      <c r="D1336" s="1858">
        <v>1</v>
      </c>
      <c r="E1336" s="1858">
        <v>1</v>
      </c>
      <c r="F1336" s="1859">
        <v>2</v>
      </c>
      <c r="G1336" s="1872" t="s">
        <v>5126</v>
      </c>
      <c r="H1336" s="1856">
        <v>1</v>
      </c>
      <c r="I1336" s="1856">
        <v>1</v>
      </c>
      <c r="J1336" s="1873">
        <v>2</v>
      </c>
      <c r="K1336" s="1860"/>
      <c r="L1336" s="1854">
        <v>13121009700</v>
      </c>
      <c r="M1336" s="1855">
        <v>1</v>
      </c>
      <c r="N1336" s="1855">
        <v>1</v>
      </c>
      <c r="O1336" s="1856">
        <v>2</v>
      </c>
    </row>
    <row r="1337" spans="3:15" ht="13.5">
      <c r="C1337" s="1861" t="s">
        <v>5127</v>
      </c>
      <c r="D1337" s="1858">
        <v>1</v>
      </c>
      <c r="E1337" s="1858">
        <v>1</v>
      </c>
      <c r="F1337" s="1859">
        <v>2</v>
      </c>
      <c r="G1337" s="1872" t="s">
        <v>5127</v>
      </c>
      <c r="H1337" s="1856">
        <v>1</v>
      </c>
      <c r="I1337" s="1856">
        <v>1</v>
      </c>
      <c r="J1337" s="1873">
        <v>2</v>
      </c>
      <c r="K1337" s="1860"/>
      <c r="L1337" s="1854">
        <v>13121009801</v>
      </c>
      <c r="M1337" s="1855">
        <v>1</v>
      </c>
      <c r="N1337" s="1855">
        <v>1</v>
      </c>
      <c r="O1337" s="1856">
        <v>2</v>
      </c>
    </row>
    <row r="1338" spans="3:15" ht="13.5">
      <c r="C1338" s="1861" t="s">
        <v>5128</v>
      </c>
      <c r="D1338" s="1858">
        <v>1</v>
      </c>
      <c r="E1338" s="1858">
        <v>1</v>
      </c>
      <c r="F1338" s="1859">
        <v>2</v>
      </c>
      <c r="G1338" s="1872" t="s">
        <v>5128</v>
      </c>
      <c r="H1338" s="1856">
        <v>1</v>
      </c>
      <c r="I1338" s="1856">
        <v>1</v>
      </c>
      <c r="J1338" s="1873">
        <v>2</v>
      </c>
      <c r="K1338" s="1860"/>
      <c r="L1338" s="1854">
        <v>13121009802</v>
      </c>
      <c r="M1338" s="1855">
        <v>1</v>
      </c>
      <c r="N1338" s="1855">
        <v>1</v>
      </c>
      <c r="O1338" s="1856">
        <v>2</v>
      </c>
    </row>
    <row r="1339" spans="3:15" ht="13.5">
      <c r="C1339" s="1861" t="s">
        <v>5129</v>
      </c>
      <c r="D1339" s="1858">
        <v>1</v>
      </c>
      <c r="E1339" s="1858">
        <v>1</v>
      </c>
      <c r="F1339" s="1859">
        <v>2</v>
      </c>
      <c r="G1339" s="1872" t="s">
        <v>5129</v>
      </c>
      <c r="H1339" s="1856">
        <v>1</v>
      </c>
      <c r="I1339" s="1856" t="s">
        <v>3909</v>
      </c>
      <c r="J1339" s="1873">
        <v>1</v>
      </c>
      <c r="K1339" s="1860"/>
      <c r="L1339" s="1854">
        <v>13121009900</v>
      </c>
      <c r="M1339" s="1855">
        <v>1</v>
      </c>
      <c r="N1339" s="1855">
        <v>1</v>
      </c>
      <c r="O1339" s="1856">
        <v>2</v>
      </c>
    </row>
    <row r="1340" spans="3:15" ht="13.5">
      <c r="C1340" s="1861" t="s">
        <v>5130</v>
      </c>
      <c r="D1340" s="1858">
        <v>1</v>
      </c>
      <c r="E1340" s="1858">
        <v>1</v>
      </c>
      <c r="F1340" s="1859">
        <v>2</v>
      </c>
      <c r="G1340" s="1872" t="s">
        <v>5130</v>
      </c>
      <c r="H1340" s="1856">
        <v>1</v>
      </c>
      <c r="I1340" s="1856">
        <v>1</v>
      </c>
      <c r="J1340" s="1873">
        <v>2</v>
      </c>
      <c r="K1340" s="1860"/>
      <c r="L1340" s="1854">
        <v>13121010001</v>
      </c>
      <c r="M1340" s="1855">
        <v>1</v>
      </c>
      <c r="N1340" s="1855">
        <v>1</v>
      </c>
      <c r="O1340" s="1856">
        <v>2</v>
      </c>
    </row>
    <row r="1341" spans="3:15" ht="13.5">
      <c r="C1341" s="1861" t="s">
        <v>5131</v>
      </c>
      <c r="D1341" s="1858">
        <v>1</v>
      </c>
      <c r="E1341" s="1858">
        <v>1</v>
      </c>
      <c r="F1341" s="1859">
        <v>2</v>
      </c>
      <c r="G1341" s="1872" t="s">
        <v>5131</v>
      </c>
      <c r="H1341" s="1856">
        <v>1</v>
      </c>
      <c r="I1341" s="1856">
        <v>1</v>
      </c>
      <c r="J1341" s="1873">
        <v>2</v>
      </c>
      <c r="K1341" s="1860"/>
      <c r="L1341" s="1854">
        <v>13121010002</v>
      </c>
      <c r="M1341" s="1855">
        <v>1</v>
      </c>
      <c r="N1341" s="1855">
        <v>1</v>
      </c>
      <c r="O1341" s="1856">
        <v>2</v>
      </c>
    </row>
    <row r="1342" spans="3:15" ht="13.5">
      <c r="C1342" s="1861" t="s">
        <v>5132</v>
      </c>
      <c r="D1342" s="1858">
        <v>1</v>
      </c>
      <c r="E1342" s="1858">
        <v>1</v>
      </c>
      <c r="F1342" s="1859">
        <v>2</v>
      </c>
      <c r="G1342" s="1872" t="s">
        <v>5132</v>
      </c>
      <c r="H1342" s="1856">
        <v>1</v>
      </c>
      <c r="I1342" s="1856">
        <v>1</v>
      </c>
      <c r="J1342" s="1873">
        <v>2</v>
      </c>
      <c r="K1342" s="1860"/>
      <c r="L1342" s="1854">
        <v>13121010106</v>
      </c>
      <c r="M1342" s="1855">
        <v>1</v>
      </c>
      <c r="N1342" s="1855">
        <v>1</v>
      </c>
      <c r="O1342" s="1856">
        <v>2</v>
      </c>
    </row>
    <row r="1343" spans="3:15" ht="13.5">
      <c r="C1343" s="1861" t="s">
        <v>5133</v>
      </c>
      <c r="D1343" s="1858">
        <v>1</v>
      </c>
      <c r="E1343" s="1858">
        <v>1</v>
      </c>
      <c r="F1343" s="1859">
        <v>2</v>
      </c>
      <c r="G1343" s="1872" t="s">
        <v>5133</v>
      </c>
      <c r="H1343" s="1856">
        <v>1</v>
      </c>
      <c r="I1343" s="1856">
        <v>1</v>
      </c>
      <c r="J1343" s="1873">
        <v>2</v>
      </c>
      <c r="K1343" s="1860"/>
      <c r="L1343" s="1854">
        <v>13121010107</v>
      </c>
      <c r="M1343" s="1855">
        <v>1</v>
      </c>
      <c r="N1343" s="1855">
        <v>1</v>
      </c>
      <c r="O1343" s="1856">
        <v>2</v>
      </c>
    </row>
    <row r="1344" spans="3:15" ht="13.5">
      <c r="C1344" s="1861" t="s">
        <v>5134</v>
      </c>
      <c r="D1344" s="1858">
        <v>1</v>
      </c>
      <c r="E1344" s="1858">
        <v>1</v>
      </c>
      <c r="F1344" s="1859">
        <v>2</v>
      </c>
      <c r="G1344" s="1872" t="s">
        <v>5134</v>
      </c>
      <c r="H1344" s="1856">
        <v>1</v>
      </c>
      <c r="I1344" s="1856">
        <v>1</v>
      </c>
      <c r="J1344" s="1873">
        <v>2</v>
      </c>
      <c r="K1344" s="1860"/>
      <c r="L1344" s="1854">
        <v>13121010108</v>
      </c>
      <c r="M1344" s="1855">
        <v>1</v>
      </c>
      <c r="N1344" s="1855">
        <v>1</v>
      </c>
      <c r="O1344" s="1856">
        <v>2</v>
      </c>
    </row>
    <row r="1345" spans="3:15" ht="13.5">
      <c r="C1345" s="1861" t="s">
        <v>5135</v>
      </c>
      <c r="D1345" s="1858">
        <v>1</v>
      </c>
      <c r="E1345" s="1858">
        <v>1</v>
      </c>
      <c r="F1345" s="1859">
        <v>2</v>
      </c>
      <c r="G1345" s="1872" t="s">
        <v>5135</v>
      </c>
      <c r="H1345" s="1856">
        <v>1</v>
      </c>
      <c r="I1345" s="1856">
        <v>1</v>
      </c>
      <c r="J1345" s="1873">
        <v>2</v>
      </c>
      <c r="K1345" s="1860"/>
      <c r="L1345" s="1854">
        <v>13121010110</v>
      </c>
      <c r="M1345" s="1855">
        <v>1</v>
      </c>
      <c r="N1345" s="1855">
        <v>1</v>
      </c>
      <c r="O1345" s="1856">
        <v>2</v>
      </c>
    </row>
    <row r="1346" spans="3:15" ht="13.5">
      <c r="C1346" s="1861" t="s">
        <v>5136</v>
      </c>
      <c r="D1346" s="1858">
        <v>1</v>
      </c>
      <c r="E1346" s="1858">
        <v>0</v>
      </c>
      <c r="F1346" s="1859">
        <v>1</v>
      </c>
      <c r="G1346" s="1872" t="s">
        <v>5136</v>
      </c>
      <c r="H1346" s="1856">
        <v>1</v>
      </c>
      <c r="I1346" s="1856">
        <v>0</v>
      </c>
      <c r="J1346" s="1873">
        <v>1</v>
      </c>
      <c r="K1346" s="1860"/>
      <c r="L1346" s="1854">
        <v>13121010113</v>
      </c>
      <c r="M1346" s="1855">
        <v>1</v>
      </c>
      <c r="N1346" s="1855">
        <v>0</v>
      </c>
      <c r="O1346" s="1856">
        <v>1</v>
      </c>
    </row>
    <row r="1347" spans="3:15" ht="13.5">
      <c r="C1347" s="1861" t="s">
        <v>5137</v>
      </c>
      <c r="D1347" s="1858">
        <v>1</v>
      </c>
      <c r="E1347" s="1858">
        <v>1</v>
      </c>
      <c r="F1347" s="1859">
        <v>2</v>
      </c>
      <c r="G1347" s="1872" t="s">
        <v>5137</v>
      </c>
      <c r="H1347" s="1856">
        <v>1</v>
      </c>
      <c r="I1347" s="1856">
        <v>1</v>
      </c>
      <c r="J1347" s="1873">
        <v>2</v>
      </c>
      <c r="K1347" s="1860"/>
      <c r="L1347" s="1854">
        <v>13121010114</v>
      </c>
      <c r="M1347" s="1855">
        <v>1</v>
      </c>
      <c r="N1347" s="1855">
        <v>1</v>
      </c>
      <c r="O1347" s="1856">
        <v>2</v>
      </c>
    </row>
    <row r="1348" spans="3:15" ht="13.5">
      <c r="C1348" s="1861" t="s">
        <v>5138</v>
      </c>
      <c r="D1348" s="1858">
        <v>1</v>
      </c>
      <c r="E1348" s="1858">
        <v>1</v>
      </c>
      <c r="F1348" s="1859">
        <v>2</v>
      </c>
      <c r="G1348" s="1872" t="s">
        <v>5138</v>
      </c>
      <c r="H1348" s="1856">
        <v>1</v>
      </c>
      <c r="I1348" s="1856">
        <v>1</v>
      </c>
      <c r="J1348" s="1873">
        <v>2</v>
      </c>
      <c r="K1348" s="1860"/>
      <c r="L1348" s="1854">
        <v>13121010115</v>
      </c>
      <c r="M1348" s="1855">
        <v>1</v>
      </c>
      <c r="N1348" s="1855">
        <v>1</v>
      </c>
      <c r="O1348" s="1856">
        <v>2</v>
      </c>
    </row>
    <row r="1349" spans="3:15" ht="13.5">
      <c r="C1349" s="1861" t="s">
        <v>5139</v>
      </c>
      <c r="D1349" s="1858">
        <v>1</v>
      </c>
      <c r="E1349" s="1858">
        <v>0</v>
      </c>
      <c r="F1349" s="1859">
        <v>1</v>
      </c>
      <c r="G1349" s="1872" t="s">
        <v>5139</v>
      </c>
      <c r="H1349" s="1856">
        <v>1</v>
      </c>
      <c r="I1349" s="1856" t="s">
        <v>3909</v>
      </c>
      <c r="J1349" s="1873">
        <v>1</v>
      </c>
      <c r="K1349" s="1860"/>
      <c r="L1349" s="1854">
        <v>13121010117</v>
      </c>
      <c r="M1349" s="1855">
        <v>1</v>
      </c>
      <c r="N1349" s="1855">
        <v>0</v>
      </c>
      <c r="O1349" s="1856">
        <v>1</v>
      </c>
    </row>
    <row r="1350" spans="3:15" ht="13.5">
      <c r="C1350" s="1861" t="s">
        <v>5140</v>
      </c>
      <c r="D1350" s="1858">
        <v>0</v>
      </c>
      <c r="E1350" s="1858">
        <v>0</v>
      </c>
      <c r="F1350" s="1859">
        <v>0</v>
      </c>
      <c r="G1350" s="1872" t="s">
        <v>5140</v>
      </c>
      <c r="H1350" s="1856">
        <v>1</v>
      </c>
      <c r="I1350" s="1856" t="s">
        <v>3909</v>
      </c>
      <c r="J1350" s="1873">
        <v>1</v>
      </c>
      <c r="K1350" s="1860"/>
      <c r="L1350" s="1854">
        <v>13121010118</v>
      </c>
      <c r="M1350" s="1855">
        <v>1</v>
      </c>
      <c r="N1350" s="1855">
        <v>0</v>
      </c>
      <c r="O1350" s="1856">
        <v>1</v>
      </c>
    </row>
    <row r="1351" spans="3:15" ht="13.5">
      <c r="C1351" s="1861" t="s">
        <v>5141</v>
      </c>
      <c r="D1351" s="1858">
        <v>0</v>
      </c>
      <c r="E1351" s="1858">
        <v>0</v>
      </c>
      <c r="F1351" s="1859">
        <v>0</v>
      </c>
      <c r="G1351" s="1872" t="s">
        <v>5141</v>
      </c>
      <c r="H1351" s="1856">
        <v>0</v>
      </c>
      <c r="I1351" s="1856">
        <v>0</v>
      </c>
      <c r="J1351" s="1873">
        <v>0</v>
      </c>
      <c r="K1351" s="1860"/>
      <c r="L1351" s="1854">
        <v>13121010119</v>
      </c>
      <c r="M1351" s="1855">
        <v>0</v>
      </c>
      <c r="N1351" s="1855">
        <v>0</v>
      </c>
      <c r="O1351" s="1856">
        <v>0</v>
      </c>
    </row>
    <row r="1352" spans="3:15" ht="13.5">
      <c r="C1352" s="1861" t="s">
        <v>5142</v>
      </c>
      <c r="D1352" s="1858">
        <v>1</v>
      </c>
      <c r="E1352" s="1858">
        <v>1</v>
      </c>
      <c r="F1352" s="1859">
        <v>2</v>
      </c>
      <c r="G1352" s="1872" t="s">
        <v>5142</v>
      </c>
      <c r="H1352" s="1856">
        <v>1</v>
      </c>
      <c r="I1352" s="1856" t="s">
        <v>3909</v>
      </c>
      <c r="J1352" s="1873">
        <v>1</v>
      </c>
      <c r="K1352" s="1860"/>
      <c r="L1352" s="1854">
        <v>13121010120</v>
      </c>
      <c r="M1352" s="1855">
        <v>1</v>
      </c>
      <c r="N1352" s="1855">
        <v>1</v>
      </c>
      <c r="O1352" s="1856">
        <v>2</v>
      </c>
    </row>
    <row r="1353" spans="3:15" ht="13.5">
      <c r="C1353" s="1861" t="s">
        <v>5143</v>
      </c>
      <c r="D1353" s="1858">
        <v>1</v>
      </c>
      <c r="E1353" s="1858">
        <v>1</v>
      </c>
      <c r="F1353" s="1859">
        <v>2</v>
      </c>
      <c r="G1353" s="1872" t="s">
        <v>5143</v>
      </c>
      <c r="H1353" s="1856">
        <v>1</v>
      </c>
      <c r="I1353" s="1856">
        <v>1</v>
      </c>
      <c r="J1353" s="1873">
        <v>2</v>
      </c>
      <c r="K1353" s="1860"/>
      <c r="L1353" s="1854">
        <v>13121010121</v>
      </c>
      <c r="M1353" s="1855">
        <v>1</v>
      </c>
      <c r="N1353" s="1855">
        <v>1</v>
      </c>
      <c r="O1353" s="1856">
        <v>2</v>
      </c>
    </row>
    <row r="1354" spans="3:15" ht="13.5">
      <c r="C1354" s="1861" t="s">
        <v>5144</v>
      </c>
      <c r="D1354" s="1858">
        <v>1</v>
      </c>
      <c r="E1354" s="1858">
        <v>1</v>
      </c>
      <c r="F1354" s="1859">
        <v>2</v>
      </c>
      <c r="G1354" s="1872" t="s">
        <v>5144</v>
      </c>
      <c r="H1354" s="1856">
        <v>1</v>
      </c>
      <c r="I1354" s="1856">
        <v>1</v>
      </c>
      <c r="J1354" s="1873">
        <v>2</v>
      </c>
      <c r="K1354" s="1860"/>
      <c r="L1354" s="1854">
        <v>13121010122</v>
      </c>
      <c r="M1354" s="1855">
        <v>1</v>
      </c>
      <c r="N1354" s="1855">
        <v>1</v>
      </c>
      <c r="O1354" s="1856">
        <v>2</v>
      </c>
    </row>
    <row r="1355" spans="3:15" ht="13.5">
      <c r="C1355" s="1861" t="s">
        <v>5145</v>
      </c>
      <c r="D1355" s="1858">
        <v>1</v>
      </c>
      <c r="E1355" s="1858">
        <v>0</v>
      </c>
      <c r="F1355" s="1859">
        <v>1</v>
      </c>
      <c r="G1355" s="1872" t="s">
        <v>5145</v>
      </c>
      <c r="H1355" s="1856">
        <v>1</v>
      </c>
      <c r="I1355" s="1856">
        <v>1</v>
      </c>
      <c r="J1355" s="1873">
        <v>2</v>
      </c>
      <c r="K1355" s="1860"/>
      <c r="L1355" s="1854">
        <v>13121010123</v>
      </c>
      <c r="M1355" s="1855">
        <v>1</v>
      </c>
      <c r="N1355" s="1855">
        <v>1</v>
      </c>
      <c r="O1355" s="1856">
        <v>2</v>
      </c>
    </row>
    <row r="1356" spans="3:15" ht="13.5">
      <c r="C1356" s="1861" t="s">
        <v>5146</v>
      </c>
      <c r="D1356" s="1858">
        <v>1</v>
      </c>
      <c r="E1356" s="1858">
        <v>1</v>
      </c>
      <c r="F1356" s="1859">
        <v>2</v>
      </c>
      <c r="G1356" s="1872" t="s">
        <v>5146</v>
      </c>
      <c r="H1356" s="1856">
        <v>1</v>
      </c>
      <c r="I1356" s="1856">
        <v>1</v>
      </c>
      <c r="J1356" s="1873">
        <v>2</v>
      </c>
      <c r="K1356" s="1860"/>
      <c r="L1356" s="1854">
        <v>13121010204</v>
      </c>
      <c r="M1356" s="1855">
        <v>1</v>
      </c>
      <c r="N1356" s="1855">
        <v>1</v>
      </c>
      <c r="O1356" s="1856">
        <v>2</v>
      </c>
    </row>
    <row r="1357" spans="3:15" ht="13.5">
      <c r="C1357" s="1861" t="s">
        <v>5147</v>
      </c>
      <c r="D1357" s="1858">
        <v>1</v>
      </c>
      <c r="E1357" s="1858">
        <v>1</v>
      </c>
      <c r="F1357" s="1859">
        <v>2</v>
      </c>
      <c r="G1357" s="1872" t="s">
        <v>5147</v>
      </c>
      <c r="H1357" s="1856">
        <v>1</v>
      </c>
      <c r="I1357" s="1856">
        <v>1</v>
      </c>
      <c r="J1357" s="1873">
        <v>2</v>
      </c>
      <c r="K1357" s="1860"/>
      <c r="L1357" s="1854">
        <v>13121010205</v>
      </c>
      <c r="M1357" s="1855">
        <v>1</v>
      </c>
      <c r="N1357" s="1855">
        <v>1</v>
      </c>
      <c r="O1357" s="1856">
        <v>2</v>
      </c>
    </row>
    <row r="1358" spans="3:15" ht="13.5">
      <c r="C1358" s="1861" t="s">
        <v>5148</v>
      </c>
      <c r="D1358" s="1858">
        <v>1</v>
      </c>
      <c r="E1358" s="1858">
        <v>1</v>
      </c>
      <c r="F1358" s="1859">
        <v>2</v>
      </c>
      <c r="G1358" s="1872" t="s">
        <v>5148</v>
      </c>
      <c r="H1358" s="1856">
        <v>1</v>
      </c>
      <c r="I1358" s="1856">
        <v>1</v>
      </c>
      <c r="J1358" s="1873">
        <v>2</v>
      </c>
      <c r="K1358" s="1860"/>
      <c r="L1358" s="1854">
        <v>13121010206</v>
      </c>
      <c r="M1358" s="1855">
        <v>1</v>
      </c>
      <c r="N1358" s="1855">
        <v>1</v>
      </c>
      <c r="O1358" s="1856">
        <v>2</v>
      </c>
    </row>
    <row r="1359" spans="3:15" ht="13.5">
      <c r="C1359" s="1861" t="s">
        <v>5149</v>
      </c>
      <c r="D1359" s="1858">
        <v>1</v>
      </c>
      <c r="E1359" s="1858">
        <v>0</v>
      </c>
      <c r="F1359" s="1859">
        <v>1</v>
      </c>
      <c r="G1359" s="1872" t="s">
        <v>5149</v>
      </c>
      <c r="H1359" s="1856">
        <v>1</v>
      </c>
      <c r="I1359" s="1856">
        <v>1</v>
      </c>
      <c r="J1359" s="1873">
        <v>2</v>
      </c>
      <c r="K1359" s="1860"/>
      <c r="L1359" s="1854">
        <v>13121010208</v>
      </c>
      <c r="M1359" s="1855">
        <v>1</v>
      </c>
      <c r="N1359" s="1855">
        <v>1</v>
      </c>
      <c r="O1359" s="1856">
        <v>2</v>
      </c>
    </row>
    <row r="1360" spans="3:15" ht="13.5">
      <c r="C1360" s="1861" t="s">
        <v>5150</v>
      </c>
      <c r="D1360" s="1858">
        <v>1</v>
      </c>
      <c r="E1360" s="1858">
        <v>1</v>
      </c>
      <c r="F1360" s="1859">
        <v>2</v>
      </c>
      <c r="G1360" s="1872" t="s">
        <v>5150</v>
      </c>
      <c r="H1360" s="1856">
        <v>1</v>
      </c>
      <c r="I1360" s="1856" t="s">
        <v>3909</v>
      </c>
      <c r="J1360" s="1873">
        <v>1</v>
      </c>
      <c r="K1360" s="1860"/>
      <c r="L1360" s="1854">
        <v>13121010209</v>
      </c>
      <c r="M1360" s="1855">
        <v>1</v>
      </c>
      <c r="N1360" s="1855">
        <v>1</v>
      </c>
      <c r="O1360" s="1856">
        <v>2</v>
      </c>
    </row>
    <row r="1361" spans="3:15" ht="13.5">
      <c r="C1361" s="1861" t="s">
        <v>5151</v>
      </c>
      <c r="D1361" s="1858">
        <v>1</v>
      </c>
      <c r="E1361" s="1858">
        <v>1</v>
      </c>
      <c r="F1361" s="1859">
        <v>2</v>
      </c>
      <c r="G1361" s="1872" t="s">
        <v>5151</v>
      </c>
      <c r="H1361" s="1856">
        <v>1</v>
      </c>
      <c r="I1361" s="1856">
        <v>1</v>
      </c>
      <c r="J1361" s="1873">
        <v>2</v>
      </c>
      <c r="K1361" s="1860"/>
      <c r="L1361" s="1854">
        <v>13121010210</v>
      </c>
      <c r="M1361" s="1855">
        <v>1</v>
      </c>
      <c r="N1361" s="1855">
        <v>1</v>
      </c>
      <c r="O1361" s="1856">
        <v>2</v>
      </c>
    </row>
    <row r="1362" spans="3:15" ht="13.5">
      <c r="C1362" s="1861" t="s">
        <v>5152</v>
      </c>
      <c r="D1362" s="1858">
        <v>1</v>
      </c>
      <c r="E1362" s="1858">
        <v>1</v>
      </c>
      <c r="F1362" s="1859">
        <v>2</v>
      </c>
      <c r="G1362" s="1872" t="s">
        <v>5152</v>
      </c>
      <c r="H1362" s="1856">
        <v>1</v>
      </c>
      <c r="I1362" s="1856">
        <v>1</v>
      </c>
      <c r="J1362" s="1873">
        <v>2</v>
      </c>
      <c r="K1362" s="1860"/>
      <c r="L1362" s="1854">
        <v>13121010211</v>
      </c>
      <c r="M1362" s="1855">
        <v>1</v>
      </c>
      <c r="N1362" s="1855">
        <v>1</v>
      </c>
      <c r="O1362" s="1856">
        <v>2</v>
      </c>
    </row>
    <row r="1363" spans="3:15" ht="13.5">
      <c r="C1363" s="1861" t="s">
        <v>5153</v>
      </c>
      <c r="D1363" s="1858">
        <v>1</v>
      </c>
      <c r="E1363" s="1858">
        <v>0</v>
      </c>
      <c r="F1363" s="1859">
        <v>1</v>
      </c>
      <c r="G1363" s="1872" t="s">
        <v>5153</v>
      </c>
      <c r="H1363" s="1856">
        <v>1</v>
      </c>
      <c r="I1363" s="1856">
        <v>0</v>
      </c>
      <c r="J1363" s="1873">
        <v>1</v>
      </c>
      <c r="K1363" s="1860"/>
      <c r="L1363" s="1854">
        <v>13121010212</v>
      </c>
      <c r="M1363" s="1855">
        <v>1</v>
      </c>
      <c r="N1363" s="1855">
        <v>0</v>
      </c>
      <c r="O1363" s="1856">
        <v>1</v>
      </c>
    </row>
    <row r="1364" spans="3:15" ht="13.5">
      <c r="C1364" s="1861" t="s">
        <v>5154</v>
      </c>
      <c r="D1364" s="1858">
        <v>1</v>
      </c>
      <c r="E1364" s="1858">
        <v>0</v>
      </c>
      <c r="F1364" s="1859">
        <v>1</v>
      </c>
      <c r="G1364" s="1872" t="s">
        <v>5154</v>
      </c>
      <c r="H1364" s="1856">
        <v>1</v>
      </c>
      <c r="I1364" s="1856">
        <v>1</v>
      </c>
      <c r="J1364" s="1873">
        <v>2</v>
      </c>
      <c r="K1364" s="1860"/>
      <c r="L1364" s="1854">
        <v>13121010301</v>
      </c>
      <c r="M1364" s="1855">
        <v>1</v>
      </c>
      <c r="N1364" s="1855">
        <v>1</v>
      </c>
      <c r="O1364" s="1856">
        <v>2</v>
      </c>
    </row>
    <row r="1365" spans="3:15" ht="13.5">
      <c r="C1365" s="1861" t="s">
        <v>5155</v>
      </c>
      <c r="D1365" s="1858">
        <v>1</v>
      </c>
      <c r="E1365" s="1858">
        <v>0</v>
      </c>
      <c r="F1365" s="1859">
        <v>1</v>
      </c>
      <c r="G1365" s="1872" t="s">
        <v>5155</v>
      </c>
      <c r="H1365" s="1856">
        <v>1</v>
      </c>
      <c r="I1365" s="1856">
        <v>1</v>
      </c>
      <c r="J1365" s="1873">
        <v>2</v>
      </c>
      <c r="K1365" s="1860"/>
      <c r="L1365" s="1854">
        <v>13121010303</v>
      </c>
      <c r="M1365" s="1855">
        <v>1</v>
      </c>
      <c r="N1365" s="1855">
        <v>1</v>
      </c>
      <c r="O1365" s="1856">
        <v>2</v>
      </c>
    </row>
    <row r="1366" spans="3:15" ht="13.5">
      <c r="C1366" s="1861" t="s">
        <v>5156</v>
      </c>
      <c r="D1366" s="1858">
        <v>1</v>
      </c>
      <c r="E1366" s="1858">
        <v>1</v>
      </c>
      <c r="F1366" s="1859">
        <v>2</v>
      </c>
      <c r="G1366" s="1872" t="s">
        <v>5156</v>
      </c>
      <c r="H1366" s="1856">
        <v>1</v>
      </c>
      <c r="I1366" s="1856">
        <v>1</v>
      </c>
      <c r="J1366" s="1873">
        <v>2</v>
      </c>
      <c r="K1366" s="1860"/>
      <c r="L1366" s="1854">
        <v>13121010304</v>
      </c>
      <c r="M1366" s="1855">
        <v>1</v>
      </c>
      <c r="N1366" s="1855">
        <v>1</v>
      </c>
      <c r="O1366" s="1856">
        <v>2</v>
      </c>
    </row>
    <row r="1367" spans="3:15" ht="13.5">
      <c r="C1367" s="1861" t="s">
        <v>5157</v>
      </c>
      <c r="D1367" s="1858">
        <v>0</v>
      </c>
      <c r="E1367" s="1858">
        <v>0</v>
      </c>
      <c r="F1367" s="1859">
        <v>0</v>
      </c>
      <c r="G1367" s="1872" t="s">
        <v>5157</v>
      </c>
      <c r="H1367" s="1856">
        <v>0</v>
      </c>
      <c r="I1367" s="1856">
        <v>0</v>
      </c>
      <c r="J1367" s="1873">
        <v>0</v>
      </c>
      <c r="K1367" s="1860"/>
      <c r="L1367" s="1854">
        <v>13121010400</v>
      </c>
      <c r="M1367" s="1855">
        <v>0</v>
      </c>
      <c r="N1367" s="1855">
        <v>0</v>
      </c>
      <c r="O1367" s="1856">
        <v>0</v>
      </c>
    </row>
    <row r="1368" spans="3:15" ht="13.5">
      <c r="C1368" s="1861" t="s">
        <v>5158</v>
      </c>
      <c r="D1368" s="1858">
        <v>0</v>
      </c>
      <c r="E1368" s="1858">
        <v>0</v>
      </c>
      <c r="F1368" s="1859">
        <v>0</v>
      </c>
      <c r="G1368" s="1872" t="s">
        <v>5158</v>
      </c>
      <c r="H1368" s="1856">
        <v>0</v>
      </c>
      <c r="I1368" s="1856">
        <v>1</v>
      </c>
      <c r="J1368" s="1873">
        <v>1</v>
      </c>
      <c r="K1368" s="1860"/>
      <c r="L1368" s="1854">
        <v>13121010507</v>
      </c>
      <c r="M1368" s="1855">
        <v>0</v>
      </c>
      <c r="N1368" s="1855">
        <v>1</v>
      </c>
      <c r="O1368" s="1856">
        <v>1</v>
      </c>
    </row>
    <row r="1369" spans="3:15" ht="13.5">
      <c r="C1369" s="1861" t="s">
        <v>5159</v>
      </c>
      <c r="D1369" s="1858">
        <v>0</v>
      </c>
      <c r="E1369" s="1858">
        <v>0</v>
      </c>
      <c r="F1369" s="1859">
        <v>0</v>
      </c>
      <c r="G1369" s="1872" t="s">
        <v>5159</v>
      </c>
      <c r="H1369" s="1856">
        <v>0</v>
      </c>
      <c r="I1369" s="1856">
        <v>0</v>
      </c>
      <c r="J1369" s="1873">
        <v>0</v>
      </c>
      <c r="K1369" s="1860"/>
      <c r="L1369" s="1854">
        <v>13121010508</v>
      </c>
      <c r="M1369" s="1855">
        <v>0</v>
      </c>
      <c r="N1369" s="1855">
        <v>0</v>
      </c>
      <c r="O1369" s="1856">
        <v>0</v>
      </c>
    </row>
    <row r="1370" spans="3:15" ht="13.5">
      <c r="C1370" s="1861" t="s">
        <v>5160</v>
      </c>
      <c r="D1370" s="1858">
        <v>0</v>
      </c>
      <c r="E1370" s="1858">
        <v>0</v>
      </c>
      <c r="F1370" s="1859">
        <v>0</v>
      </c>
      <c r="G1370" s="1872" t="s">
        <v>5160</v>
      </c>
      <c r="H1370" s="1856">
        <v>0</v>
      </c>
      <c r="I1370" s="1856">
        <v>1</v>
      </c>
      <c r="J1370" s="1873">
        <v>1</v>
      </c>
      <c r="K1370" s="1860"/>
      <c r="L1370" s="1854">
        <v>13121010510</v>
      </c>
      <c r="M1370" s="1855">
        <v>0</v>
      </c>
      <c r="N1370" s="1855">
        <v>1</v>
      </c>
      <c r="O1370" s="1856">
        <v>1</v>
      </c>
    </row>
    <row r="1371" spans="3:15" ht="13.5">
      <c r="C1371" s="1861" t="s">
        <v>5161</v>
      </c>
      <c r="D1371" s="1858">
        <v>0</v>
      </c>
      <c r="E1371" s="1858">
        <v>0</v>
      </c>
      <c r="F1371" s="1859">
        <v>0</v>
      </c>
      <c r="G1371" s="1872" t="s">
        <v>5161</v>
      </c>
      <c r="H1371" s="1856">
        <v>0</v>
      </c>
      <c r="I1371" s="1856">
        <v>1</v>
      </c>
      <c r="J1371" s="1873">
        <v>1</v>
      </c>
      <c r="K1371" s="1860"/>
      <c r="L1371" s="1854">
        <v>13121010511</v>
      </c>
      <c r="M1371" s="1855">
        <v>0</v>
      </c>
      <c r="N1371" s="1855">
        <v>1</v>
      </c>
      <c r="O1371" s="1856">
        <v>1</v>
      </c>
    </row>
    <row r="1372" spans="3:15" ht="13.5">
      <c r="C1372" s="1861" t="s">
        <v>5162</v>
      </c>
      <c r="D1372" s="1858">
        <v>0</v>
      </c>
      <c r="E1372" s="1858">
        <v>0</v>
      </c>
      <c r="F1372" s="1859">
        <v>0</v>
      </c>
      <c r="G1372" s="1872" t="s">
        <v>5162</v>
      </c>
      <c r="H1372" s="1856">
        <v>0</v>
      </c>
      <c r="I1372" s="1856" t="s">
        <v>3909</v>
      </c>
      <c r="J1372" s="1873">
        <v>0</v>
      </c>
      <c r="K1372" s="1860"/>
      <c r="L1372" s="1854">
        <v>13121010512</v>
      </c>
      <c r="M1372" s="1855">
        <v>0</v>
      </c>
      <c r="N1372" s="1855">
        <v>0</v>
      </c>
      <c r="O1372" s="1856">
        <v>0</v>
      </c>
    </row>
    <row r="1373" spans="3:15" ht="13.5">
      <c r="C1373" s="1861" t="s">
        <v>5163</v>
      </c>
      <c r="D1373" s="1858">
        <v>0</v>
      </c>
      <c r="E1373" s="1858">
        <v>0</v>
      </c>
      <c r="F1373" s="1859">
        <v>0</v>
      </c>
      <c r="G1373" s="1872" t="s">
        <v>5163</v>
      </c>
      <c r="H1373" s="1856">
        <v>0</v>
      </c>
      <c r="I1373" s="1856">
        <v>0</v>
      </c>
      <c r="J1373" s="1873">
        <v>0</v>
      </c>
      <c r="K1373" s="1860"/>
      <c r="L1373" s="1854">
        <v>13121010513</v>
      </c>
      <c r="M1373" s="1855">
        <v>0</v>
      </c>
      <c r="N1373" s="1855">
        <v>0</v>
      </c>
      <c r="O1373" s="1856">
        <v>0</v>
      </c>
    </row>
    <row r="1374" spans="3:15" ht="13.5">
      <c r="C1374" s="1861" t="s">
        <v>5164</v>
      </c>
      <c r="D1374" s="1858">
        <v>1</v>
      </c>
      <c r="E1374" s="1858">
        <v>1</v>
      </c>
      <c r="F1374" s="1859">
        <v>2</v>
      </c>
      <c r="G1374" s="1872" t="s">
        <v>5164</v>
      </c>
      <c r="H1374" s="1856">
        <v>1</v>
      </c>
      <c r="I1374" s="1856">
        <v>1</v>
      </c>
      <c r="J1374" s="1873">
        <v>2</v>
      </c>
      <c r="K1374" s="1860"/>
      <c r="L1374" s="1854">
        <v>13121010514</v>
      </c>
      <c r="M1374" s="1855">
        <v>1</v>
      </c>
      <c r="N1374" s="1855">
        <v>1</v>
      </c>
      <c r="O1374" s="1856">
        <v>2</v>
      </c>
    </row>
    <row r="1375" spans="3:15" ht="13.5">
      <c r="C1375" s="1861" t="s">
        <v>5165</v>
      </c>
      <c r="D1375" s="1858">
        <v>0</v>
      </c>
      <c r="E1375" s="1858">
        <v>0</v>
      </c>
      <c r="F1375" s="1859">
        <v>0</v>
      </c>
      <c r="G1375" s="1872" t="s">
        <v>5165</v>
      </c>
      <c r="H1375" s="1856">
        <v>1</v>
      </c>
      <c r="I1375" s="1856">
        <v>0</v>
      </c>
      <c r="J1375" s="1873">
        <v>1</v>
      </c>
      <c r="K1375" s="1860"/>
      <c r="L1375" s="1854">
        <v>13121010515</v>
      </c>
      <c r="M1375" s="1855">
        <v>1</v>
      </c>
      <c r="N1375" s="1855">
        <v>0</v>
      </c>
      <c r="O1375" s="1856">
        <v>1</v>
      </c>
    </row>
    <row r="1376" spans="3:15" ht="13.5">
      <c r="C1376" s="1861" t="s">
        <v>5166</v>
      </c>
      <c r="D1376" s="1858">
        <v>0</v>
      </c>
      <c r="E1376" s="1858">
        <v>0</v>
      </c>
      <c r="F1376" s="1859">
        <v>0</v>
      </c>
      <c r="G1376" s="1872" t="s">
        <v>5166</v>
      </c>
      <c r="H1376" s="1856">
        <v>0</v>
      </c>
      <c r="I1376" s="1856">
        <v>0</v>
      </c>
      <c r="J1376" s="1873">
        <v>0</v>
      </c>
      <c r="K1376" s="1860"/>
      <c r="L1376" s="1854">
        <v>13121010516</v>
      </c>
      <c r="M1376" s="1855">
        <v>0</v>
      </c>
      <c r="N1376" s="1855">
        <v>0</v>
      </c>
      <c r="O1376" s="1856">
        <v>0</v>
      </c>
    </row>
    <row r="1377" spans="3:15" ht="13.5">
      <c r="C1377" s="1861" t="s">
        <v>5167</v>
      </c>
      <c r="D1377" s="1858">
        <v>0</v>
      </c>
      <c r="E1377" s="1858">
        <v>0</v>
      </c>
      <c r="F1377" s="1859">
        <v>0</v>
      </c>
      <c r="G1377" s="1872" t="s">
        <v>5167</v>
      </c>
      <c r="H1377" s="1856">
        <v>0</v>
      </c>
      <c r="I1377" s="1856">
        <v>0</v>
      </c>
      <c r="J1377" s="1873">
        <v>0</v>
      </c>
      <c r="K1377" s="1860"/>
      <c r="L1377" s="1854">
        <v>13121010601</v>
      </c>
      <c r="M1377" s="1855">
        <v>0</v>
      </c>
      <c r="N1377" s="1855">
        <v>0</v>
      </c>
      <c r="O1377" s="1856">
        <v>0</v>
      </c>
    </row>
    <row r="1378" spans="3:15" ht="13.5">
      <c r="C1378" s="1861" t="s">
        <v>5168</v>
      </c>
      <c r="D1378" s="1858">
        <v>0</v>
      </c>
      <c r="E1378" s="1858">
        <v>0</v>
      </c>
      <c r="F1378" s="1859">
        <v>0</v>
      </c>
      <c r="G1378" s="1872" t="s">
        <v>5168</v>
      </c>
      <c r="H1378" s="1856">
        <v>0</v>
      </c>
      <c r="I1378" s="1856">
        <v>0</v>
      </c>
      <c r="J1378" s="1873">
        <v>0</v>
      </c>
      <c r="K1378" s="1860"/>
      <c r="L1378" s="1854">
        <v>13121010603</v>
      </c>
      <c r="M1378" s="1855">
        <v>0</v>
      </c>
      <c r="N1378" s="1855">
        <v>0</v>
      </c>
      <c r="O1378" s="1856">
        <v>0</v>
      </c>
    </row>
    <row r="1379" spans="3:15" ht="13.5">
      <c r="C1379" s="1861" t="s">
        <v>5169</v>
      </c>
      <c r="D1379" s="1858">
        <v>0</v>
      </c>
      <c r="E1379" s="1858">
        <v>0</v>
      </c>
      <c r="F1379" s="1859">
        <v>0</v>
      </c>
      <c r="G1379" s="1872" t="s">
        <v>5169</v>
      </c>
      <c r="H1379" s="1856">
        <v>0</v>
      </c>
      <c r="I1379" s="1856">
        <v>0</v>
      </c>
      <c r="J1379" s="1873">
        <v>0</v>
      </c>
      <c r="K1379" s="1860"/>
      <c r="L1379" s="1854">
        <v>13121010604</v>
      </c>
      <c r="M1379" s="1855">
        <v>0</v>
      </c>
      <c r="N1379" s="1855">
        <v>0</v>
      </c>
      <c r="O1379" s="1856">
        <v>0</v>
      </c>
    </row>
    <row r="1380" spans="3:15" ht="13.5">
      <c r="C1380" s="1861" t="s">
        <v>5170</v>
      </c>
      <c r="D1380" s="1858">
        <v>0</v>
      </c>
      <c r="E1380" s="1858">
        <v>0</v>
      </c>
      <c r="F1380" s="1859">
        <v>0</v>
      </c>
      <c r="G1380" s="1872" t="s">
        <v>5170</v>
      </c>
      <c r="H1380" s="1856">
        <v>1</v>
      </c>
      <c r="I1380" s="1856">
        <v>0</v>
      </c>
      <c r="J1380" s="1873">
        <v>1</v>
      </c>
      <c r="K1380" s="1860"/>
      <c r="L1380" s="1854">
        <v>13121010800</v>
      </c>
      <c r="M1380" s="1855">
        <v>1</v>
      </c>
      <c r="N1380" s="1855">
        <v>0</v>
      </c>
      <c r="O1380" s="1856">
        <v>1</v>
      </c>
    </row>
    <row r="1381" spans="3:15" ht="13.5">
      <c r="C1381" s="1861" t="s">
        <v>5171</v>
      </c>
      <c r="D1381" s="1858">
        <v>0</v>
      </c>
      <c r="E1381" s="1858">
        <v>0</v>
      </c>
      <c r="F1381" s="1859">
        <v>0</v>
      </c>
      <c r="G1381" s="1872" t="s">
        <v>5171</v>
      </c>
      <c r="H1381" s="1856">
        <v>0</v>
      </c>
      <c r="I1381" s="1856">
        <v>0</v>
      </c>
      <c r="J1381" s="1873">
        <v>0</v>
      </c>
      <c r="K1381" s="1860"/>
      <c r="L1381" s="1854">
        <v>13121011000</v>
      </c>
      <c r="M1381" s="1855">
        <v>0</v>
      </c>
      <c r="N1381" s="1855">
        <v>0</v>
      </c>
      <c r="O1381" s="1856">
        <v>0</v>
      </c>
    </row>
    <row r="1382" spans="3:15" ht="13.5">
      <c r="C1382" s="1861" t="s">
        <v>5172</v>
      </c>
      <c r="D1382" s="1858">
        <v>1</v>
      </c>
      <c r="E1382" s="1858">
        <v>0</v>
      </c>
      <c r="F1382" s="1859">
        <v>1</v>
      </c>
      <c r="G1382" s="1872" t="s">
        <v>5172</v>
      </c>
      <c r="H1382" s="1856">
        <v>1</v>
      </c>
      <c r="I1382" s="1856">
        <v>0</v>
      </c>
      <c r="J1382" s="1873">
        <v>1</v>
      </c>
      <c r="K1382" s="1860"/>
      <c r="L1382" s="1854">
        <v>13121011100</v>
      </c>
      <c r="M1382" s="1855">
        <v>1</v>
      </c>
      <c r="N1382" s="1855">
        <v>0</v>
      </c>
      <c r="O1382" s="1856">
        <v>1</v>
      </c>
    </row>
    <row r="1383" spans="3:15" ht="13.5">
      <c r="C1383" s="1861" t="s">
        <v>5173</v>
      </c>
      <c r="D1383" s="1858">
        <v>0</v>
      </c>
      <c r="E1383" s="1858">
        <v>0</v>
      </c>
      <c r="F1383" s="1859">
        <v>0</v>
      </c>
      <c r="G1383" s="1872" t="s">
        <v>5173</v>
      </c>
      <c r="H1383" s="1856">
        <v>0</v>
      </c>
      <c r="I1383" s="1856">
        <v>0</v>
      </c>
      <c r="J1383" s="1873">
        <v>0</v>
      </c>
      <c r="K1383" s="1860"/>
      <c r="L1383" s="1854">
        <v>13121011201</v>
      </c>
      <c r="M1383" s="1855">
        <v>0</v>
      </c>
      <c r="N1383" s="1855">
        <v>0</v>
      </c>
      <c r="O1383" s="1856">
        <v>0</v>
      </c>
    </row>
    <row r="1384" spans="3:15" ht="13.5">
      <c r="C1384" s="1861" t="s">
        <v>5174</v>
      </c>
      <c r="D1384" s="1858">
        <v>0</v>
      </c>
      <c r="E1384" s="1858">
        <v>0</v>
      </c>
      <c r="F1384" s="1859">
        <v>0</v>
      </c>
      <c r="G1384" s="1872" t="s">
        <v>5174</v>
      </c>
      <c r="H1384" s="1856">
        <v>0</v>
      </c>
      <c r="I1384" s="1856">
        <v>0</v>
      </c>
      <c r="J1384" s="1873">
        <v>0</v>
      </c>
      <c r="K1384" s="1860"/>
      <c r="L1384" s="1854">
        <v>13121011202</v>
      </c>
      <c r="M1384" s="1855">
        <v>0</v>
      </c>
      <c r="N1384" s="1855">
        <v>0</v>
      </c>
      <c r="O1384" s="1856">
        <v>0</v>
      </c>
    </row>
    <row r="1385" spans="3:15" ht="13.5">
      <c r="C1385" s="1861" t="s">
        <v>5175</v>
      </c>
      <c r="D1385" s="1858">
        <v>0</v>
      </c>
      <c r="E1385" s="1858">
        <v>0</v>
      </c>
      <c r="F1385" s="1859">
        <v>0</v>
      </c>
      <c r="G1385" s="1872" t="s">
        <v>5175</v>
      </c>
      <c r="H1385" s="1856">
        <v>0</v>
      </c>
      <c r="I1385" s="1856">
        <v>0</v>
      </c>
      <c r="J1385" s="1873">
        <v>0</v>
      </c>
      <c r="K1385" s="1860"/>
      <c r="L1385" s="1854">
        <v>13121011301</v>
      </c>
      <c r="M1385" s="1855">
        <v>0</v>
      </c>
      <c r="N1385" s="1855">
        <v>0</v>
      </c>
      <c r="O1385" s="1856">
        <v>0</v>
      </c>
    </row>
    <row r="1386" spans="3:15" ht="13.5">
      <c r="C1386" s="1861" t="s">
        <v>5176</v>
      </c>
      <c r="D1386" s="1858">
        <v>0</v>
      </c>
      <c r="E1386" s="1858">
        <v>0</v>
      </c>
      <c r="F1386" s="1859">
        <v>0</v>
      </c>
      <c r="G1386" s="1872" t="s">
        <v>5176</v>
      </c>
      <c r="H1386" s="1856">
        <v>1</v>
      </c>
      <c r="I1386" s="1856">
        <v>0</v>
      </c>
      <c r="J1386" s="1873">
        <v>1</v>
      </c>
      <c r="K1386" s="1860"/>
      <c r="L1386" s="1854">
        <v>13121011303</v>
      </c>
      <c r="M1386" s="1855">
        <v>1</v>
      </c>
      <c r="N1386" s="1855">
        <v>0</v>
      </c>
      <c r="O1386" s="1856">
        <v>1</v>
      </c>
    </row>
    <row r="1387" spans="3:15" ht="13.5">
      <c r="C1387" s="1861" t="s">
        <v>5177</v>
      </c>
      <c r="D1387" s="1858">
        <v>0</v>
      </c>
      <c r="E1387" s="1858">
        <v>0</v>
      </c>
      <c r="F1387" s="1859">
        <v>0</v>
      </c>
      <c r="G1387" s="1872" t="s">
        <v>5177</v>
      </c>
      <c r="H1387" s="1856">
        <v>0</v>
      </c>
      <c r="I1387" s="1856">
        <v>0</v>
      </c>
      <c r="J1387" s="1873">
        <v>0</v>
      </c>
      <c r="K1387" s="1860"/>
      <c r="L1387" s="1854">
        <v>13121011305</v>
      </c>
      <c r="M1387" s="1855">
        <v>0</v>
      </c>
      <c r="N1387" s="1855">
        <v>0</v>
      </c>
      <c r="O1387" s="1856">
        <v>0</v>
      </c>
    </row>
    <row r="1388" spans="3:15" ht="13.5">
      <c r="C1388" s="1861" t="s">
        <v>5178</v>
      </c>
      <c r="D1388" s="1858">
        <v>0</v>
      </c>
      <c r="E1388" s="1858">
        <v>0</v>
      </c>
      <c r="F1388" s="1859">
        <v>0</v>
      </c>
      <c r="G1388" s="1872" t="s">
        <v>5178</v>
      </c>
      <c r="H1388" s="1856">
        <v>0</v>
      </c>
      <c r="I1388" s="1856">
        <v>0</v>
      </c>
      <c r="J1388" s="1873">
        <v>0</v>
      </c>
      <c r="K1388" s="1860"/>
      <c r="L1388" s="1854">
        <v>13121011306</v>
      </c>
      <c r="M1388" s="1855">
        <v>0</v>
      </c>
      <c r="N1388" s="1855">
        <v>0</v>
      </c>
      <c r="O1388" s="1856">
        <v>0</v>
      </c>
    </row>
    <row r="1389" spans="3:15" ht="13.5">
      <c r="C1389" s="1861" t="s">
        <v>5179</v>
      </c>
      <c r="D1389" s="1858">
        <v>1</v>
      </c>
      <c r="E1389" s="1858">
        <v>0</v>
      </c>
      <c r="F1389" s="1859">
        <v>1</v>
      </c>
      <c r="G1389" s="1872" t="s">
        <v>5179</v>
      </c>
      <c r="H1389" s="1856">
        <v>1</v>
      </c>
      <c r="I1389" s="1856">
        <v>1</v>
      </c>
      <c r="J1389" s="1873">
        <v>2</v>
      </c>
      <c r="K1389" s="1860"/>
      <c r="L1389" s="1854">
        <v>13121011405</v>
      </c>
      <c r="M1389" s="1855">
        <v>1</v>
      </c>
      <c r="N1389" s="1855">
        <v>1</v>
      </c>
      <c r="O1389" s="1856">
        <v>2</v>
      </c>
    </row>
    <row r="1390" spans="3:15" ht="13.5">
      <c r="C1390" s="1861" t="s">
        <v>5180</v>
      </c>
      <c r="D1390" s="1858">
        <v>1</v>
      </c>
      <c r="E1390" s="1858">
        <v>1</v>
      </c>
      <c r="F1390" s="1859">
        <v>2</v>
      </c>
      <c r="G1390" s="1872" t="s">
        <v>5180</v>
      </c>
      <c r="H1390" s="1856">
        <v>1</v>
      </c>
      <c r="I1390" s="1856">
        <v>1</v>
      </c>
      <c r="J1390" s="1873">
        <v>2</v>
      </c>
      <c r="K1390" s="1860"/>
      <c r="L1390" s="1854">
        <v>13121011410</v>
      </c>
      <c r="M1390" s="1855">
        <v>1</v>
      </c>
      <c r="N1390" s="1855">
        <v>1</v>
      </c>
      <c r="O1390" s="1856">
        <v>2</v>
      </c>
    </row>
    <row r="1391" spans="3:15" ht="13.5">
      <c r="C1391" s="1861" t="s">
        <v>5181</v>
      </c>
      <c r="D1391" s="1858">
        <v>1</v>
      </c>
      <c r="E1391" s="1858">
        <v>1</v>
      </c>
      <c r="F1391" s="1859">
        <v>2</v>
      </c>
      <c r="G1391" s="1872" t="s">
        <v>5181</v>
      </c>
      <c r="H1391" s="1856">
        <v>1</v>
      </c>
      <c r="I1391" s="1856">
        <v>1</v>
      </c>
      <c r="J1391" s="1873">
        <v>2</v>
      </c>
      <c r="K1391" s="1860"/>
      <c r="L1391" s="1854">
        <v>13121011411</v>
      </c>
      <c r="M1391" s="1855">
        <v>1</v>
      </c>
      <c r="N1391" s="1855">
        <v>1</v>
      </c>
      <c r="O1391" s="1856">
        <v>2</v>
      </c>
    </row>
    <row r="1392" spans="3:15" ht="13.5">
      <c r="C1392" s="1861" t="s">
        <v>5182</v>
      </c>
      <c r="D1392" s="1858">
        <v>1</v>
      </c>
      <c r="E1392" s="1858">
        <v>1</v>
      </c>
      <c r="F1392" s="1859">
        <v>2</v>
      </c>
      <c r="G1392" s="1872" t="s">
        <v>5182</v>
      </c>
      <c r="H1392" s="1856">
        <v>1</v>
      </c>
      <c r="I1392" s="1856">
        <v>1</v>
      </c>
      <c r="J1392" s="1873">
        <v>2</v>
      </c>
      <c r="K1392" s="1860"/>
      <c r="L1392" s="1854">
        <v>13121011412</v>
      </c>
      <c r="M1392" s="1855">
        <v>1</v>
      </c>
      <c r="N1392" s="1855">
        <v>1</v>
      </c>
      <c r="O1392" s="1856">
        <v>2</v>
      </c>
    </row>
    <row r="1393" spans="3:15" ht="13.5">
      <c r="C1393" s="1861" t="s">
        <v>5183</v>
      </c>
      <c r="D1393" s="1858">
        <v>1</v>
      </c>
      <c r="E1393" s="1858">
        <v>1</v>
      </c>
      <c r="F1393" s="1859">
        <v>2</v>
      </c>
      <c r="G1393" s="1872" t="s">
        <v>5183</v>
      </c>
      <c r="H1393" s="1856">
        <v>1</v>
      </c>
      <c r="I1393" s="1856">
        <v>0</v>
      </c>
      <c r="J1393" s="1873">
        <v>1</v>
      </c>
      <c r="K1393" s="1860"/>
      <c r="L1393" s="1854">
        <v>13121011414</v>
      </c>
      <c r="M1393" s="1855">
        <v>1</v>
      </c>
      <c r="N1393" s="1855">
        <v>1</v>
      </c>
      <c r="O1393" s="1856">
        <v>2</v>
      </c>
    </row>
    <row r="1394" spans="3:15" ht="13.5">
      <c r="C1394" s="1861" t="s">
        <v>5184</v>
      </c>
      <c r="D1394" s="1858">
        <v>1</v>
      </c>
      <c r="E1394" s="1858">
        <v>1</v>
      </c>
      <c r="F1394" s="1859">
        <v>2</v>
      </c>
      <c r="G1394" s="1872" t="s">
        <v>5184</v>
      </c>
      <c r="H1394" s="1856">
        <v>1</v>
      </c>
      <c r="I1394" s="1856">
        <v>1</v>
      </c>
      <c r="J1394" s="1873">
        <v>2</v>
      </c>
      <c r="K1394" s="1860"/>
      <c r="L1394" s="1854">
        <v>13121011416</v>
      </c>
      <c r="M1394" s="1855">
        <v>1</v>
      </c>
      <c r="N1394" s="1855">
        <v>1</v>
      </c>
      <c r="O1394" s="1856">
        <v>2</v>
      </c>
    </row>
    <row r="1395" spans="3:15" ht="13.5">
      <c r="C1395" s="1861" t="s">
        <v>5185</v>
      </c>
      <c r="D1395" s="1858">
        <v>1</v>
      </c>
      <c r="E1395" s="1858">
        <v>1</v>
      </c>
      <c r="F1395" s="1859">
        <v>2</v>
      </c>
      <c r="G1395" s="1872" t="s">
        <v>5185</v>
      </c>
      <c r="H1395" s="1856">
        <v>1</v>
      </c>
      <c r="I1395" s="1856">
        <v>1</v>
      </c>
      <c r="J1395" s="1873">
        <v>2</v>
      </c>
      <c r="K1395" s="1860"/>
      <c r="L1395" s="1854">
        <v>13121011417</v>
      </c>
      <c r="M1395" s="1855">
        <v>1</v>
      </c>
      <c r="N1395" s="1855">
        <v>1</v>
      </c>
      <c r="O1395" s="1856">
        <v>2</v>
      </c>
    </row>
    <row r="1396" spans="3:15" ht="13.5">
      <c r="C1396" s="1861" t="s">
        <v>5186</v>
      </c>
      <c r="D1396" s="1858">
        <v>1</v>
      </c>
      <c r="E1396" s="1858">
        <v>1</v>
      </c>
      <c r="F1396" s="1859">
        <v>2</v>
      </c>
      <c r="G1396" s="1872" t="s">
        <v>5186</v>
      </c>
      <c r="H1396" s="1856">
        <v>1</v>
      </c>
      <c r="I1396" s="1856">
        <v>1</v>
      </c>
      <c r="J1396" s="1873">
        <v>2</v>
      </c>
      <c r="K1396" s="1860"/>
      <c r="L1396" s="1854">
        <v>13121011418</v>
      </c>
      <c r="M1396" s="1855">
        <v>1</v>
      </c>
      <c r="N1396" s="1855">
        <v>1</v>
      </c>
      <c r="O1396" s="1856">
        <v>2</v>
      </c>
    </row>
    <row r="1397" spans="3:15" ht="13.5">
      <c r="C1397" s="1861" t="s">
        <v>5187</v>
      </c>
      <c r="D1397" s="1858">
        <v>1</v>
      </c>
      <c r="E1397" s="1858">
        <v>1</v>
      </c>
      <c r="F1397" s="1859">
        <v>2</v>
      </c>
      <c r="G1397" s="1872" t="s">
        <v>5187</v>
      </c>
      <c r="H1397" s="1856">
        <v>1</v>
      </c>
      <c r="I1397" s="1856">
        <v>1</v>
      </c>
      <c r="J1397" s="1873">
        <v>2</v>
      </c>
      <c r="K1397" s="1860"/>
      <c r="L1397" s="1854">
        <v>13121011419</v>
      </c>
      <c r="M1397" s="1855">
        <v>1</v>
      </c>
      <c r="N1397" s="1855">
        <v>1</v>
      </c>
      <c r="O1397" s="1856">
        <v>2</v>
      </c>
    </row>
    <row r="1398" spans="3:15" ht="13.5">
      <c r="C1398" s="1861" t="s">
        <v>5188</v>
      </c>
      <c r="D1398" s="1858">
        <v>0</v>
      </c>
      <c r="E1398" s="1858">
        <v>0</v>
      </c>
      <c r="F1398" s="1859">
        <v>0</v>
      </c>
      <c r="G1398" s="1872" t="s">
        <v>5188</v>
      </c>
      <c r="H1398" s="1856">
        <v>0</v>
      </c>
      <c r="I1398" s="1856">
        <v>0</v>
      </c>
      <c r="J1398" s="1873">
        <v>0</v>
      </c>
      <c r="K1398" s="1860"/>
      <c r="L1398" s="1854">
        <v>13121011420</v>
      </c>
      <c r="M1398" s="1855">
        <v>0</v>
      </c>
      <c r="N1398" s="1855">
        <v>0</v>
      </c>
      <c r="O1398" s="1856">
        <v>0</v>
      </c>
    </row>
    <row r="1399" spans="3:15" ht="13.5">
      <c r="C1399" s="1861" t="s">
        <v>5189</v>
      </c>
      <c r="D1399" s="1858">
        <v>1</v>
      </c>
      <c r="E1399" s="1858">
        <v>0</v>
      </c>
      <c r="F1399" s="1859">
        <v>1</v>
      </c>
      <c r="G1399" s="1872" t="s">
        <v>5189</v>
      </c>
      <c r="H1399" s="1856">
        <v>1</v>
      </c>
      <c r="I1399" s="1856">
        <v>0</v>
      </c>
      <c r="J1399" s="1873">
        <v>1</v>
      </c>
      <c r="K1399" s="1860"/>
      <c r="L1399" s="1854">
        <v>13121011421</v>
      </c>
      <c r="M1399" s="1855">
        <v>1</v>
      </c>
      <c r="N1399" s="1855">
        <v>0</v>
      </c>
      <c r="O1399" s="1856">
        <v>1</v>
      </c>
    </row>
    <row r="1400" spans="3:15" ht="13.5">
      <c r="C1400" s="1861" t="s">
        <v>5190</v>
      </c>
      <c r="D1400" s="1858">
        <v>1</v>
      </c>
      <c r="E1400" s="1858">
        <v>1</v>
      </c>
      <c r="F1400" s="1859">
        <v>2</v>
      </c>
      <c r="G1400" s="1872" t="s">
        <v>5190</v>
      </c>
      <c r="H1400" s="1856">
        <v>1</v>
      </c>
      <c r="I1400" s="1856">
        <v>1</v>
      </c>
      <c r="J1400" s="1873">
        <v>2</v>
      </c>
      <c r="K1400" s="1860"/>
      <c r="L1400" s="1854">
        <v>13121011422</v>
      </c>
      <c r="M1400" s="1855">
        <v>1</v>
      </c>
      <c r="N1400" s="1855">
        <v>1</v>
      </c>
      <c r="O1400" s="1856">
        <v>2</v>
      </c>
    </row>
    <row r="1401" spans="3:15" ht="13.5">
      <c r="C1401" s="1861" t="s">
        <v>5191</v>
      </c>
      <c r="D1401" s="1858">
        <v>1</v>
      </c>
      <c r="E1401" s="1858">
        <v>1</v>
      </c>
      <c r="F1401" s="1859">
        <v>2</v>
      </c>
      <c r="G1401" s="1872" t="s">
        <v>5191</v>
      </c>
      <c r="H1401" s="1856">
        <v>1</v>
      </c>
      <c r="I1401" s="1856">
        <v>1</v>
      </c>
      <c r="J1401" s="1873">
        <v>2</v>
      </c>
      <c r="K1401" s="1860"/>
      <c r="L1401" s="1854">
        <v>13121011423</v>
      </c>
      <c r="M1401" s="1855">
        <v>1</v>
      </c>
      <c r="N1401" s="1855">
        <v>1</v>
      </c>
      <c r="O1401" s="1856">
        <v>2</v>
      </c>
    </row>
    <row r="1402" spans="3:15" ht="13.5">
      <c r="C1402" s="1861" t="s">
        <v>5192</v>
      </c>
      <c r="D1402" s="1858">
        <v>1</v>
      </c>
      <c r="E1402" s="1858">
        <v>1</v>
      </c>
      <c r="F1402" s="1859">
        <v>2</v>
      </c>
      <c r="G1402" s="1872" t="s">
        <v>5192</v>
      </c>
      <c r="H1402" s="1856">
        <v>1</v>
      </c>
      <c r="I1402" s="1856">
        <v>1</v>
      </c>
      <c r="J1402" s="1873">
        <v>2</v>
      </c>
      <c r="K1402" s="1860"/>
      <c r="L1402" s="1854">
        <v>13121011424</v>
      </c>
      <c r="M1402" s="1855">
        <v>1</v>
      </c>
      <c r="N1402" s="1855">
        <v>1</v>
      </c>
      <c r="O1402" s="1856">
        <v>2</v>
      </c>
    </row>
    <row r="1403" spans="3:15" ht="13.5">
      <c r="C1403" s="1861" t="s">
        <v>5193</v>
      </c>
      <c r="D1403" s="1858">
        <v>1</v>
      </c>
      <c r="E1403" s="1858">
        <v>1</v>
      </c>
      <c r="F1403" s="1859">
        <v>2</v>
      </c>
      <c r="G1403" s="1872" t="s">
        <v>5193</v>
      </c>
      <c r="H1403" s="1856">
        <v>1</v>
      </c>
      <c r="I1403" s="1856">
        <v>1</v>
      </c>
      <c r="J1403" s="1873">
        <v>2</v>
      </c>
      <c r="K1403" s="1860"/>
      <c r="L1403" s="1854">
        <v>13121011425</v>
      </c>
      <c r="M1403" s="1855">
        <v>1</v>
      </c>
      <c r="N1403" s="1855">
        <v>1</v>
      </c>
      <c r="O1403" s="1856">
        <v>2</v>
      </c>
    </row>
    <row r="1404" spans="3:15" ht="13.5">
      <c r="C1404" s="1861" t="s">
        <v>5194</v>
      </c>
      <c r="D1404" s="1858">
        <v>1</v>
      </c>
      <c r="E1404" s="1858">
        <v>1</v>
      </c>
      <c r="F1404" s="1859">
        <v>2</v>
      </c>
      <c r="G1404" s="1872" t="s">
        <v>5194</v>
      </c>
      <c r="H1404" s="1856">
        <v>1</v>
      </c>
      <c r="I1404" s="1856">
        <v>1</v>
      </c>
      <c r="J1404" s="1873">
        <v>2</v>
      </c>
      <c r="K1404" s="1860"/>
      <c r="L1404" s="1854">
        <v>13121011426</v>
      </c>
      <c r="M1404" s="1855">
        <v>1</v>
      </c>
      <c r="N1404" s="1855">
        <v>1</v>
      </c>
      <c r="O1404" s="1856">
        <v>2</v>
      </c>
    </row>
    <row r="1405" spans="3:15" ht="13.5">
      <c r="C1405" s="1861" t="s">
        <v>5195</v>
      </c>
      <c r="D1405" s="1858">
        <v>1</v>
      </c>
      <c r="E1405" s="1858">
        <v>1</v>
      </c>
      <c r="F1405" s="1859">
        <v>2</v>
      </c>
      <c r="G1405" s="1872" t="s">
        <v>5195</v>
      </c>
      <c r="H1405" s="1856">
        <v>1</v>
      </c>
      <c r="I1405" s="1856">
        <v>1</v>
      </c>
      <c r="J1405" s="1873">
        <v>2</v>
      </c>
      <c r="K1405" s="1860"/>
      <c r="L1405" s="1854">
        <v>13121011427</v>
      </c>
      <c r="M1405" s="1855">
        <v>1</v>
      </c>
      <c r="N1405" s="1855">
        <v>1</v>
      </c>
      <c r="O1405" s="1856">
        <v>2</v>
      </c>
    </row>
    <row r="1406" spans="3:15" ht="13.5">
      <c r="C1406" s="1861" t="s">
        <v>5196</v>
      </c>
      <c r="D1406" s="1858">
        <v>1</v>
      </c>
      <c r="E1406" s="1858">
        <v>1</v>
      </c>
      <c r="F1406" s="1859">
        <v>2</v>
      </c>
      <c r="G1406" s="1872" t="s">
        <v>5196</v>
      </c>
      <c r="H1406" s="1856">
        <v>1</v>
      </c>
      <c r="I1406" s="1856">
        <v>1</v>
      </c>
      <c r="J1406" s="1873">
        <v>2</v>
      </c>
      <c r="K1406" s="1860"/>
      <c r="L1406" s="1854">
        <v>13121011503</v>
      </c>
      <c r="M1406" s="1855">
        <v>1</v>
      </c>
      <c r="N1406" s="1855">
        <v>1</v>
      </c>
      <c r="O1406" s="1856">
        <v>2</v>
      </c>
    </row>
    <row r="1407" spans="3:15" ht="13.5">
      <c r="C1407" s="1861" t="s">
        <v>5197</v>
      </c>
      <c r="D1407" s="1858">
        <v>1</v>
      </c>
      <c r="E1407" s="1858">
        <v>1</v>
      </c>
      <c r="F1407" s="1859">
        <v>2</v>
      </c>
      <c r="G1407" s="1872" t="s">
        <v>5197</v>
      </c>
      <c r="H1407" s="1856">
        <v>1</v>
      </c>
      <c r="I1407" s="1856" t="s">
        <v>3909</v>
      </c>
      <c r="J1407" s="1873">
        <v>1</v>
      </c>
      <c r="K1407" s="1860"/>
      <c r="L1407" s="1854">
        <v>13121011504</v>
      </c>
      <c r="M1407" s="1855">
        <v>1</v>
      </c>
      <c r="N1407" s="1855">
        <v>1</v>
      </c>
      <c r="O1407" s="1856">
        <v>2</v>
      </c>
    </row>
    <row r="1408" spans="3:15" ht="13.5">
      <c r="C1408" s="1861" t="s">
        <v>5198</v>
      </c>
      <c r="D1408" s="1858">
        <v>1</v>
      </c>
      <c r="E1408" s="1858">
        <v>1</v>
      </c>
      <c r="F1408" s="1859">
        <v>2</v>
      </c>
      <c r="G1408" s="1872" t="s">
        <v>5198</v>
      </c>
      <c r="H1408" s="1856">
        <v>1</v>
      </c>
      <c r="I1408" s="1856">
        <v>1</v>
      </c>
      <c r="J1408" s="1873">
        <v>2</v>
      </c>
      <c r="K1408" s="1860"/>
      <c r="L1408" s="1854">
        <v>13121011505</v>
      </c>
      <c r="M1408" s="1855">
        <v>1</v>
      </c>
      <c r="N1408" s="1855">
        <v>1</v>
      </c>
      <c r="O1408" s="1856">
        <v>2</v>
      </c>
    </row>
    <row r="1409" spans="3:15" ht="13.5">
      <c r="C1409" s="1861" t="s">
        <v>5199</v>
      </c>
      <c r="D1409" s="1858">
        <v>1</v>
      </c>
      <c r="E1409" s="1858">
        <v>1</v>
      </c>
      <c r="F1409" s="1859">
        <v>2</v>
      </c>
      <c r="G1409" s="1872" t="s">
        <v>5199</v>
      </c>
      <c r="H1409" s="1856">
        <v>1</v>
      </c>
      <c r="I1409" s="1856">
        <v>1</v>
      </c>
      <c r="J1409" s="1873">
        <v>2</v>
      </c>
      <c r="K1409" s="1860"/>
      <c r="L1409" s="1854">
        <v>13121011506</v>
      </c>
      <c r="M1409" s="1855">
        <v>1</v>
      </c>
      <c r="N1409" s="1855">
        <v>1</v>
      </c>
      <c r="O1409" s="1856">
        <v>2</v>
      </c>
    </row>
    <row r="1410" spans="3:15" ht="13.5">
      <c r="C1410" s="1861" t="s">
        <v>5200</v>
      </c>
      <c r="D1410" s="1858">
        <v>1</v>
      </c>
      <c r="E1410" s="1858">
        <v>1</v>
      </c>
      <c r="F1410" s="1859">
        <v>2</v>
      </c>
      <c r="G1410" s="1872" t="s">
        <v>5200</v>
      </c>
      <c r="H1410" s="1856">
        <v>1</v>
      </c>
      <c r="I1410" s="1856">
        <v>1</v>
      </c>
      <c r="J1410" s="1873">
        <v>2</v>
      </c>
      <c r="K1410" s="1860"/>
      <c r="L1410" s="1854">
        <v>13121011610</v>
      </c>
      <c r="M1410" s="1855">
        <v>1</v>
      </c>
      <c r="N1410" s="1855">
        <v>1</v>
      </c>
      <c r="O1410" s="1856">
        <v>2</v>
      </c>
    </row>
    <row r="1411" spans="3:15" ht="13.5">
      <c r="C1411" s="1861" t="s">
        <v>5201</v>
      </c>
      <c r="D1411" s="1858">
        <v>1</v>
      </c>
      <c r="E1411" s="1858">
        <v>0</v>
      </c>
      <c r="F1411" s="1859">
        <v>1</v>
      </c>
      <c r="G1411" s="1872" t="s">
        <v>5201</v>
      </c>
      <c r="H1411" s="1856">
        <v>1</v>
      </c>
      <c r="I1411" s="1856">
        <v>1</v>
      </c>
      <c r="J1411" s="1873">
        <v>2</v>
      </c>
      <c r="K1411" s="1860"/>
      <c r="L1411" s="1854">
        <v>13121011611</v>
      </c>
      <c r="M1411" s="1855">
        <v>1</v>
      </c>
      <c r="N1411" s="1855">
        <v>1</v>
      </c>
      <c r="O1411" s="1856">
        <v>2</v>
      </c>
    </row>
    <row r="1412" spans="3:15" ht="13.5">
      <c r="C1412" s="1861" t="s">
        <v>5202</v>
      </c>
      <c r="D1412" s="1858">
        <v>1</v>
      </c>
      <c r="E1412" s="1858">
        <v>1</v>
      </c>
      <c r="F1412" s="1859">
        <v>2</v>
      </c>
      <c r="G1412" s="1872" t="s">
        <v>5202</v>
      </c>
      <c r="H1412" s="1856">
        <v>1</v>
      </c>
      <c r="I1412" s="1856" t="s">
        <v>3909</v>
      </c>
      <c r="J1412" s="1873">
        <v>1</v>
      </c>
      <c r="K1412" s="1860"/>
      <c r="L1412" s="1854">
        <v>13121011612</v>
      </c>
      <c r="M1412" s="1855">
        <v>1</v>
      </c>
      <c r="N1412" s="1855">
        <v>1</v>
      </c>
      <c r="O1412" s="1856">
        <v>2</v>
      </c>
    </row>
    <row r="1413" spans="3:15" ht="13.5">
      <c r="C1413" s="1861" t="s">
        <v>5203</v>
      </c>
      <c r="D1413" s="1858">
        <v>1</v>
      </c>
      <c r="E1413" s="1858">
        <v>1</v>
      </c>
      <c r="F1413" s="1859">
        <v>2</v>
      </c>
      <c r="G1413" s="1872" t="s">
        <v>5203</v>
      </c>
      <c r="H1413" s="1856">
        <v>1</v>
      </c>
      <c r="I1413" s="1856">
        <v>1</v>
      </c>
      <c r="J1413" s="1873">
        <v>2</v>
      </c>
      <c r="K1413" s="1860"/>
      <c r="L1413" s="1854">
        <v>13121011613</v>
      </c>
      <c r="M1413" s="1855">
        <v>1</v>
      </c>
      <c r="N1413" s="1855">
        <v>1</v>
      </c>
      <c r="O1413" s="1856">
        <v>2</v>
      </c>
    </row>
    <row r="1414" spans="3:15" ht="13.5">
      <c r="C1414" s="1861" t="s">
        <v>5204</v>
      </c>
      <c r="D1414" s="1858">
        <v>1</v>
      </c>
      <c r="E1414" s="1858">
        <v>1</v>
      </c>
      <c r="F1414" s="1859">
        <v>2</v>
      </c>
      <c r="G1414" s="1872" t="s">
        <v>5204</v>
      </c>
      <c r="H1414" s="1856">
        <v>1</v>
      </c>
      <c r="I1414" s="1856">
        <v>1</v>
      </c>
      <c r="J1414" s="1873">
        <v>2</v>
      </c>
      <c r="K1414" s="1860"/>
      <c r="L1414" s="1854">
        <v>13121011614</v>
      </c>
      <c r="M1414" s="1855">
        <v>1</v>
      </c>
      <c r="N1414" s="1855">
        <v>1</v>
      </c>
      <c r="O1414" s="1856">
        <v>2</v>
      </c>
    </row>
    <row r="1415" spans="3:15" ht="13.5">
      <c r="C1415" s="1861" t="s">
        <v>5205</v>
      </c>
      <c r="D1415" s="1858">
        <v>1</v>
      </c>
      <c r="E1415" s="1858">
        <v>1</v>
      </c>
      <c r="F1415" s="1859">
        <v>2</v>
      </c>
      <c r="G1415" s="1872" t="s">
        <v>5205</v>
      </c>
      <c r="H1415" s="1856">
        <v>1</v>
      </c>
      <c r="I1415" s="1856">
        <v>1</v>
      </c>
      <c r="J1415" s="1873">
        <v>2</v>
      </c>
      <c r="K1415" s="1860"/>
      <c r="L1415" s="1854">
        <v>13121011615</v>
      </c>
      <c r="M1415" s="1855">
        <v>1</v>
      </c>
      <c r="N1415" s="1855">
        <v>1</v>
      </c>
      <c r="O1415" s="1856">
        <v>2</v>
      </c>
    </row>
    <row r="1416" spans="3:15" ht="13.5">
      <c r="C1416" s="1861" t="s">
        <v>5206</v>
      </c>
      <c r="D1416" s="1858">
        <v>1</v>
      </c>
      <c r="E1416" s="1858">
        <v>1</v>
      </c>
      <c r="F1416" s="1859">
        <v>2</v>
      </c>
      <c r="G1416" s="1872" t="s">
        <v>5206</v>
      </c>
      <c r="H1416" s="1856">
        <v>1</v>
      </c>
      <c r="I1416" s="1856">
        <v>1</v>
      </c>
      <c r="J1416" s="1873">
        <v>2</v>
      </c>
      <c r="K1416" s="1860"/>
      <c r="L1416" s="1854">
        <v>13121011616</v>
      </c>
      <c r="M1416" s="1855">
        <v>1</v>
      </c>
      <c r="N1416" s="1855">
        <v>1</v>
      </c>
      <c r="O1416" s="1856">
        <v>2</v>
      </c>
    </row>
    <row r="1417" spans="3:15" ht="13.5">
      <c r="C1417" s="1861" t="s">
        <v>5207</v>
      </c>
      <c r="D1417" s="1858">
        <v>1</v>
      </c>
      <c r="E1417" s="1858">
        <v>1</v>
      </c>
      <c r="F1417" s="1859">
        <v>2</v>
      </c>
      <c r="G1417" s="1872" t="s">
        <v>5207</v>
      </c>
      <c r="H1417" s="1856">
        <v>1</v>
      </c>
      <c r="I1417" s="1856">
        <v>1</v>
      </c>
      <c r="J1417" s="1873">
        <v>2</v>
      </c>
      <c r="K1417" s="1860"/>
      <c r="L1417" s="1854">
        <v>13121011617</v>
      </c>
      <c r="M1417" s="1855">
        <v>1</v>
      </c>
      <c r="N1417" s="1855">
        <v>1</v>
      </c>
      <c r="O1417" s="1856">
        <v>2</v>
      </c>
    </row>
    <row r="1418" spans="3:15" ht="13.5">
      <c r="C1418" s="1861" t="s">
        <v>5208</v>
      </c>
      <c r="D1418" s="1858">
        <v>1</v>
      </c>
      <c r="E1418" s="1858">
        <v>1</v>
      </c>
      <c r="F1418" s="1859">
        <v>2</v>
      </c>
      <c r="G1418" s="1872" t="s">
        <v>5208</v>
      </c>
      <c r="H1418" s="1856">
        <v>1</v>
      </c>
      <c r="I1418" s="1856">
        <v>1</v>
      </c>
      <c r="J1418" s="1873">
        <v>2</v>
      </c>
      <c r="K1418" s="1860"/>
      <c r="L1418" s="1854">
        <v>13121011618</v>
      </c>
      <c r="M1418" s="1855">
        <v>1</v>
      </c>
      <c r="N1418" s="1855">
        <v>1</v>
      </c>
      <c r="O1418" s="1856">
        <v>2</v>
      </c>
    </row>
    <row r="1419" spans="3:15" ht="13.5">
      <c r="C1419" s="1861" t="s">
        <v>5209</v>
      </c>
      <c r="D1419" s="1858">
        <v>1</v>
      </c>
      <c r="E1419" s="1858">
        <v>1</v>
      </c>
      <c r="F1419" s="1859">
        <v>2</v>
      </c>
      <c r="G1419" s="1872" t="s">
        <v>5209</v>
      </c>
      <c r="H1419" s="1856">
        <v>1</v>
      </c>
      <c r="I1419" s="1856">
        <v>1</v>
      </c>
      <c r="J1419" s="1873">
        <v>2</v>
      </c>
      <c r="K1419" s="1860"/>
      <c r="L1419" s="1854">
        <v>13121011619</v>
      </c>
      <c r="M1419" s="1855">
        <v>1</v>
      </c>
      <c r="N1419" s="1855">
        <v>1</v>
      </c>
      <c r="O1419" s="1856">
        <v>2</v>
      </c>
    </row>
    <row r="1420" spans="3:15" ht="13.5">
      <c r="C1420" s="1861" t="s">
        <v>5210</v>
      </c>
      <c r="D1420" s="1858">
        <v>1</v>
      </c>
      <c r="E1420" s="1858">
        <v>1</v>
      </c>
      <c r="F1420" s="1859">
        <v>2</v>
      </c>
      <c r="G1420" s="1872" t="s">
        <v>5210</v>
      </c>
      <c r="H1420" s="1856">
        <v>1</v>
      </c>
      <c r="I1420" s="1856">
        <v>1</v>
      </c>
      <c r="J1420" s="1873">
        <v>2</v>
      </c>
      <c r="K1420" s="1860"/>
      <c r="L1420" s="1854">
        <v>13121011620</v>
      </c>
      <c r="M1420" s="1855">
        <v>1</v>
      </c>
      <c r="N1420" s="1855">
        <v>1</v>
      </c>
      <c r="O1420" s="1856">
        <v>2</v>
      </c>
    </row>
    <row r="1421" spans="3:15" ht="13.5">
      <c r="C1421" s="1861" t="s">
        <v>5211</v>
      </c>
      <c r="D1421" s="1858">
        <v>1</v>
      </c>
      <c r="E1421" s="1858">
        <v>1</v>
      </c>
      <c r="F1421" s="1859">
        <v>2</v>
      </c>
      <c r="G1421" s="1872" t="s">
        <v>5211</v>
      </c>
      <c r="H1421" s="1856">
        <v>1</v>
      </c>
      <c r="I1421" s="1856">
        <v>1</v>
      </c>
      <c r="J1421" s="1873">
        <v>2</v>
      </c>
      <c r="K1421" s="1860"/>
      <c r="L1421" s="1854">
        <v>13121011621</v>
      </c>
      <c r="M1421" s="1855">
        <v>1</v>
      </c>
      <c r="N1421" s="1855">
        <v>1</v>
      </c>
      <c r="O1421" s="1856">
        <v>2</v>
      </c>
    </row>
    <row r="1422" spans="3:15" ht="13.5">
      <c r="C1422" s="1861" t="s">
        <v>5212</v>
      </c>
      <c r="D1422" s="1858">
        <v>1</v>
      </c>
      <c r="E1422" s="1858">
        <v>1</v>
      </c>
      <c r="F1422" s="1859">
        <v>2</v>
      </c>
      <c r="G1422" s="1872" t="s">
        <v>5212</v>
      </c>
      <c r="H1422" s="1856">
        <v>1</v>
      </c>
      <c r="I1422" s="1856">
        <v>1</v>
      </c>
      <c r="J1422" s="1873">
        <v>2</v>
      </c>
      <c r="K1422" s="1860"/>
      <c r="L1422" s="1854">
        <v>13121011622</v>
      </c>
      <c r="M1422" s="1855">
        <v>1</v>
      </c>
      <c r="N1422" s="1855">
        <v>1</v>
      </c>
      <c r="O1422" s="1856">
        <v>2</v>
      </c>
    </row>
    <row r="1423" spans="3:15" ht="13.5">
      <c r="C1423" s="1861" t="s">
        <v>5213</v>
      </c>
      <c r="D1423" s="1858">
        <v>1</v>
      </c>
      <c r="E1423" s="1858">
        <v>1</v>
      </c>
      <c r="F1423" s="1859">
        <v>2</v>
      </c>
      <c r="G1423" s="1872" t="s">
        <v>5213</v>
      </c>
      <c r="H1423" s="1856">
        <v>1</v>
      </c>
      <c r="I1423" s="1856">
        <v>1</v>
      </c>
      <c r="J1423" s="1873">
        <v>2</v>
      </c>
      <c r="K1423" s="1860"/>
      <c r="L1423" s="1854">
        <v>13121011623</v>
      </c>
      <c r="M1423" s="1855">
        <v>1</v>
      </c>
      <c r="N1423" s="1855">
        <v>1</v>
      </c>
      <c r="O1423" s="1856">
        <v>2</v>
      </c>
    </row>
    <row r="1424" spans="3:15" ht="13.5">
      <c r="C1424" s="1861" t="s">
        <v>5214</v>
      </c>
      <c r="D1424" s="1858">
        <v>1</v>
      </c>
      <c r="E1424" s="1858">
        <v>1</v>
      </c>
      <c r="F1424" s="1859">
        <v>2</v>
      </c>
      <c r="G1424" s="1872" t="s">
        <v>5214</v>
      </c>
      <c r="H1424" s="1856">
        <v>1</v>
      </c>
      <c r="I1424" s="1856" t="s">
        <v>3909</v>
      </c>
      <c r="J1424" s="1873">
        <v>1</v>
      </c>
      <c r="K1424" s="1860"/>
      <c r="L1424" s="1854">
        <v>13121011624</v>
      </c>
      <c r="M1424" s="1855">
        <v>1</v>
      </c>
      <c r="N1424" s="1855">
        <v>1</v>
      </c>
      <c r="O1424" s="1856">
        <v>2</v>
      </c>
    </row>
    <row r="1425" spans="3:15" ht="13.5">
      <c r="C1425" s="1861" t="s">
        <v>5215</v>
      </c>
      <c r="D1425" s="1858">
        <v>1</v>
      </c>
      <c r="E1425" s="1858">
        <v>1</v>
      </c>
      <c r="F1425" s="1859">
        <v>2</v>
      </c>
      <c r="G1425" s="1872" t="s">
        <v>5215</v>
      </c>
      <c r="H1425" s="1856">
        <v>1</v>
      </c>
      <c r="I1425" s="1856">
        <v>1</v>
      </c>
      <c r="J1425" s="1873">
        <v>2</v>
      </c>
      <c r="K1425" s="1860"/>
      <c r="L1425" s="1854">
        <v>13121011625</v>
      </c>
      <c r="M1425" s="1855">
        <v>1</v>
      </c>
      <c r="N1425" s="1855">
        <v>1</v>
      </c>
      <c r="O1425" s="1856">
        <v>2</v>
      </c>
    </row>
    <row r="1426" spans="3:15" ht="13.5">
      <c r="C1426" s="1861" t="s">
        <v>5216</v>
      </c>
      <c r="D1426" s="1858">
        <v>1</v>
      </c>
      <c r="E1426" s="1858">
        <v>1</v>
      </c>
      <c r="F1426" s="1859">
        <v>2</v>
      </c>
      <c r="G1426" s="1872" t="s">
        <v>5216</v>
      </c>
      <c r="H1426" s="1856">
        <v>1</v>
      </c>
      <c r="I1426" s="1856">
        <v>1</v>
      </c>
      <c r="J1426" s="1873">
        <v>2</v>
      </c>
      <c r="K1426" s="1860"/>
      <c r="L1426" s="1854">
        <v>13121011626</v>
      </c>
      <c r="M1426" s="1855">
        <v>1</v>
      </c>
      <c r="N1426" s="1855">
        <v>1</v>
      </c>
      <c r="O1426" s="1856">
        <v>2</v>
      </c>
    </row>
    <row r="1427" spans="3:15" ht="13.5">
      <c r="C1427" s="1861" t="s">
        <v>5217</v>
      </c>
      <c r="D1427" s="1858">
        <v>0</v>
      </c>
      <c r="E1427" s="1858">
        <v>0</v>
      </c>
      <c r="F1427" s="1859">
        <v>0</v>
      </c>
      <c r="G1427" s="1872" t="s">
        <v>5217</v>
      </c>
      <c r="H1427" s="1856">
        <v>0</v>
      </c>
      <c r="I1427" s="1856">
        <v>0</v>
      </c>
      <c r="J1427" s="1873">
        <v>0</v>
      </c>
      <c r="K1427" s="1860"/>
      <c r="L1427" s="1854">
        <v>13121011800</v>
      </c>
      <c r="M1427" s="1855">
        <v>0</v>
      </c>
      <c r="N1427" s="1855">
        <v>0</v>
      </c>
      <c r="O1427" s="1856">
        <v>0</v>
      </c>
    </row>
    <row r="1428" spans="3:15" ht="13.5">
      <c r="C1428" s="1861" t="s">
        <v>5218</v>
      </c>
      <c r="D1428" s="1858">
        <v>0</v>
      </c>
      <c r="E1428" s="1858">
        <v>0</v>
      </c>
      <c r="F1428" s="1859">
        <v>0</v>
      </c>
      <c r="G1428" s="1872" t="s">
        <v>5218</v>
      </c>
      <c r="H1428" s="1856">
        <v>0</v>
      </c>
      <c r="I1428" s="1856" t="s">
        <v>3909</v>
      </c>
      <c r="J1428" s="1873">
        <v>0</v>
      </c>
      <c r="K1428" s="1860"/>
      <c r="L1428" s="1854">
        <v>13121011900</v>
      </c>
      <c r="M1428" s="1855">
        <v>0</v>
      </c>
      <c r="N1428" s="1855">
        <v>0</v>
      </c>
      <c r="O1428" s="1856">
        <v>0</v>
      </c>
    </row>
    <row r="1429" spans="3:15" ht="13.5">
      <c r="C1429" s="1861" t="s">
        <v>5219</v>
      </c>
      <c r="D1429" s="1858">
        <v>0</v>
      </c>
      <c r="E1429" s="1858">
        <v>0</v>
      </c>
      <c r="F1429" s="1859">
        <v>0</v>
      </c>
      <c r="G1429" s="1872" t="s">
        <v>5219</v>
      </c>
      <c r="H1429" s="1856">
        <v>0</v>
      </c>
      <c r="I1429" s="1856">
        <v>0</v>
      </c>
      <c r="J1429" s="1873">
        <v>0</v>
      </c>
      <c r="K1429" s="1860"/>
      <c r="L1429" s="1854">
        <v>13121012000</v>
      </c>
      <c r="M1429" s="1855">
        <v>0</v>
      </c>
      <c r="N1429" s="1855">
        <v>0</v>
      </c>
      <c r="O1429" s="1856">
        <v>0</v>
      </c>
    </row>
    <row r="1430" spans="3:15" ht="13.5">
      <c r="C1430" s="1861" t="s">
        <v>5220</v>
      </c>
      <c r="D1430" s="1858">
        <v>1</v>
      </c>
      <c r="E1430" s="1858">
        <v>0</v>
      </c>
      <c r="F1430" s="1859">
        <v>1</v>
      </c>
      <c r="G1430" s="1872" t="s">
        <v>5220</v>
      </c>
      <c r="H1430" s="1856">
        <v>1</v>
      </c>
      <c r="I1430" s="1856">
        <v>0</v>
      </c>
      <c r="J1430" s="1873">
        <v>1</v>
      </c>
      <c r="K1430" s="1860"/>
      <c r="L1430" s="1854">
        <v>13121012300</v>
      </c>
      <c r="M1430" s="1855">
        <v>1</v>
      </c>
      <c r="N1430" s="1855">
        <v>0</v>
      </c>
      <c r="O1430" s="1856">
        <v>1</v>
      </c>
    </row>
    <row r="1431" spans="3:15" ht="13.5">
      <c r="C1431" s="1861" t="s">
        <v>5221</v>
      </c>
      <c r="D1431" s="1858" t="s">
        <v>3909</v>
      </c>
      <c r="E1431" s="1858" t="s">
        <v>3909</v>
      </c>
      <c r="F1431" s="1859">
        <v>0</v>
      </c>
      <c r="G1431" s="1872" t="s">
        <v>5221</v>
      </c>
      <c r="H1431" s="1856" t="s">
        <v>3909</v>
      </c>
      <c r="I1431" s="1856" t="s">
        <v>3909</v>
      </c>
      <c r="J1431" s="1873">
        <v>0</v>
      </c>
      <c r="K1431" s="1860"/>
      <c r="L1431" s="1854">
        <v>13121980000</v>
      </c>
      <c r="M1431" s="1855">
        <v>0</v>
      </c>
      <c r="N1431" s="1855">
        <v>0</v>
      </c>
      <c r="O1431" s="1856">
        <v>0</v>
      </c>
    </row>
    <row r="1432" spans="3:15" ht="13.5">
      <c r="C1432" s="1861" t="s">
        <v>5222</v>
      </c>
      <c r="D1432" s="1858">
        <v>0</v>
      </c>
      <c r="E1432" s="1858">
        <v>0</v>
      </c>
      <c r="F1432" s="1859">
        <v>0</v>
      </c>
      <c r="G1432" s="1872" t="s">
        <v>5222</v>
      </c>
      <c r="H1432" s="1856">
        <v>0</v>
      </c>
      <c r="I1432" s="1856">
        <v>1</v>
      </c>
      <c r="J1432" s="1873">
        <v>1</v>
      </c>
      <c r="K1432" s="1860"/>
      <c r="L1432" s="1854">
        <v>13123080100</v>
      </c>
      <c r="M1432" s="1855">
        <v>0</v>
      </c>
      <c r="N1432" s="1855">
        <v>1</v>
      </c>
      <c r="O1432" s="1856">
        <v>1</v>
      </c>
    </row>
    <row r="1433" spans="3:15" ht="13.5">
      <c r="C1433" s="1861" t="s">
        <v>5223</v>
      </c>
      <c r="D1433" s="1858">
        <v>0</v>
      </c>
      <c r="E1433" s="1858">
        <v>0</v>
      </c>
      <c r="F1433" s="1859">
        <v>0</v>
      </c>
      <c r="G1433" s="1872" t="s">
        <v>5223</v>
      </c>
      <c r="H1433" s="1856">
        <v>0</v>
      </c>
      <c r="I1433" s="1856">
        <v>0</v>
      </c>
      <c r="J1433" s="1873">
        <v>0</v>
      </c>
      <c r="K1433" s="1860"/>
      <c r="L1433" s="1854">
        <v>13123080200</v>
      </c>
      <c r="M1433" s="1855">
        <v>0</v>
      </c>
      <c r="N1433" s="1855">
        <v>0</v>
      </c>
      <c r="O1433" s="1856">
        <v>0</v>
      </c>
    </row>
    <row r="1434" spans="3:15" ht="13.5">
      <c r="C1434" s="1861" t="s">
        <v>5224</v>
      </c>
      <c r="D1434" s="1858">
        <v>0</v>
      </c>
      <c r="E1434" s="1858">
        <v>0</v>
      </c>
      <c r="F1434" s="1859">
        <v>0</v>
      </c>
      <c r="G1434" s="1872" t="s">
        <v>5224</v>
      </c>
      <c r="H1434" s="1856">
        <v>0</v>
      </c>
      <c r="I1434" s="1856">
        <v>0</v>
      </c>
      <c r="J1434" s="1873">
        <v>0</v>
      </c>
      <c r="K1434" s="1860"/>
      <c r="L1434" s="1854">
        <v>13123080300</v>
      </c>
      <c r="M1434" s="1855">
        <v>0</v>
      </c>
      <c r="N1434" s="1855">
        <v>0</v>
      </c>
      <c r="O1434" s="1856">
        <v>0</v>
      </c>
    </row>
    <row r="1435" spans="3:15" ht="13.5">
      <c r="C1435" s="1861" t="s">
        <v>5225</v>
      </c>
      <c r="D1435" s="1858">
        <v>0</v>
      </c>
      <c r="E1435" s="1858">
        <v>0</v>
      </c>
      <c r="F1435" s="1859">
        <v>0</v>
      </c>
      <c r="G1435" s="1872" t="s">
        <v>5225</v>
      </c>
      <c r="H1435" s="1856">
        <v>0</v>
      </c>
      <c r="I1435" s="1856">
        <v>0</v>
      </c>
      <c r="J1435" s="1873">
        <v>0</v>
      </c>
      <c r="K1435" s="1860"/>
      <c r="L1435" s="1854">
        <v>13123080400</v>
      </c>
      <c r="M1435" s="1855">
        <v>0</v>
      </c>
      <c r="N1435" s="1855">
        <v>0</v>
      </c>
      <c r="O1435" s="1856">
        <v>0</v>
      </c>
    </row>
    <row r="1436" spans="3:15" ht="13.5">
      <c r="C1436" s="1861" t="s">
        <v>5226</v>
      </c>
      <c r="D1436" s="1858">
        <v>0</v>
      </c>
      <c r="E1436" s="1858">
        <v>0</v>
      </c>
      <c r="F1436" s="1859">
        <v>0</v>
      </c>
      <c r="G1436" s="1872" t="s">
        <v>5226</v>
      </c>
      <c r="H1436" s="1856">
        <v>0</v>
      </c>
      <c r="I1436" s="1856">
        <v>1</v>
      </c>
      <c r="J1436" s="1873">
        <v>1</v>
      </c>
      <c r="K1436" s="1860"/>
      <c r="L1436" s="1854">
        <v>13123080500</v>
      </c>
      <c r="M1436" s="1855">
        <v>0</v>
      </c>
      <c r="N1436" s="1855">
        <v>1</v>
      </c>
      <c r="O1436" s="1856">
        <v>1</v>
      </c>
    </row>
    <row r="1437" spans="3:15" ht="13.5">
      <c r="C1437" s="1861" t="s">
        <v>5227</v>
      </c>
      <c r="D1437" s="1858">
        <v>0</v>
      </c>
      <c r="E1437" s="1858">
        <v>0</v>
      </c>
      <c r="F1437" s="1859">
        <v>0</v>
      </c>
      <c r="G1437" s="1872" t="s">
        <v>5227</v>
      </c>
      <c r="H1437" s="1856">
        <v>0</v>
      </c>
      <c r="I1437" s="1856">
        <v>1</v>
      </c>
      <c r="J1437" s="1873">
        <v>1</v>
      </c>
      <c r="K1437" s="1860"/>
      <c r="L1437" s="1854">
        <v>13125010100</v>
      </c>
      <c r="M1437" s="1855">
        <v>0</v>
      </c>
      <c r="N1437" s="1855">
        <v>1</v>
      </c>
      <c r="O1437" s="1856">
        <v>1</v>
      </c>
    </row>
    <row r="1438" spans="3:15" ht="13.5">
      <c r="C1438" s="1861" t="s">
        <v>5228</v>
      </c>
      <c r="D1438" s="1858">
        <v>1</v>
      </c>
      <c r="E1438" s="1858">
        <v>1</v>
      </c>
      <c r="F1438" s="1859">
        <v>2</v>
      </c>
      <c r="G1438" s="1872" t="s">
        <v>5228</v>
      </c>
      <c r="H1438" s="1856">
        <v>1</v>
      </c>
      <c r="I1438" s="1856">
        <v>1</v>
      </c>
      <c r="J1438" s="1873">
        <v>2</v>
      </c>
      <c r="K1438" s="1860"/>
      <c r="L1438" s="1854">
        <v>13127000101</v>
      </c>
      <c r="M1438" s="1855">
        <v>1</v>
      </c>
      <c r="N1438" s="1855">
        <v>1</v>
      </c>
      <c r="O1438" s="1856">
        <v>2</v>
      </c>
    </row>
    <row r="1439" spans="3:15" ht="13.5">
      <c r="C1439" s="1861" t="s">
        <v>5229</v>
      </c>
      <c r="D1439" s="1858">
        <v>1</v>
      </c>
      <c r="E1439" s="1858">
        <v>1</v>
      </c>
      <c r="F1439" s="1859">
        <v>2</v>
      </c>
      <c r="G1439" s="1872" t="s">
        <v>5229</v>
      </c>
      <c r="H1439" s="1856">
        <v>1</v>
      </c>
      <c r="I1439" s="1856">
        <v>1</v>
      </c>
      <c r="J1439" s="1873">
        <v>2</v>
      </c>
      <c r="K1439" s="1860"/>
      <c r="L1439" s="1854">
        <v>13127000102</v>
      </c>
      <c r="M1439" s="1855">
        <v>1</v>
      </c>
      <c r="N1439" s="1855">
        <v>1</v>
      </c>
      <c r="O1439" s="1856">
        <v>2</v>
      </c>
    </row>
    <row r="1440" spans="3:15" ht="13.5">
      <c r="C1440" s="1861" t="s">
        <v>5230</v>
      </c>
      <c r="D1440" s="1858">
        <v>1</v>
      </c>
      <c r="E1440" s="1858">
        <v>1</v>
      </c>
      <c r="F1440" s="1859">
        <v>2</v>
      </c>
      <c r="G1440" s="1872" t="s">
        <v>5230</v>
      </c>
      <c r="H1440" s="1856">
        <v>1</v>
      </c>
      <c r="I1440" s="1856">
        <v>1</v>
      </c>
      <c r="J1440" s="1873">
        <v>2</v>
      </c>
      <c r="K1440" s="1860"/>
      <c r="L1440" s="1854">
        <v>13127000200</v>
      </c>
      <c r="M1440" s="1855">
        <v>1</v>
      </c>
      <c r="N1440" s="1855">
        <v>1</v>
      </c>
      <c r="O1440" s="1856">
        <v>2</v>
      </c>
    </row>
    <row r="1441" spans="3:15" ht="13.5">
      <c r="C1441" s="1861" t="s">
        <v>5231</v>
      </c>
      <c r="D1441" s="1858">
        <v>1</v>
      </c>
      <c r="E1441" s="1858">
        <v>1</v>
      </c>
      <c r="F1441" s="1859">
        <v>2</v>
      </c>
      <c r="G1441" s="1872" t="s">
        <v>5231</v>
      </c>
      <c r="H1441" s="1856">
        <v>1</v>
      </c>
      <c r="I1441" s="1856">
        <v>1</v>
      </c>
      <c r="J1441" s="1873">
        <v>2</v>
      </c>
      <c r="K1441" s="1860"/>
      <c r="L1441" s="1854">
        <v>13127000300</v>
      </c>
      <c r="M1441" s="1855">
        <v>1</v>
      </c>
      <c r="N1441" s="1855">
        <v>1</v>
      </c>
      <c r="O1441" s="1856">
        <v>2</v>
      </c>
    </row>
    <row r="1442" spans="3:15" ht="13.5">
      <c r="C1442" s="1861" t="s">
        <v>5232</v>
      </c>
      <c r="D1442" s="1858">
        <v>1</v>
      </c>
      <c r="E1442" s="1858">
        <v>0</v>
      </c>
      <c r="F1442" s="1859">
        <v>1</v>
      </c>
      <c r="G1442" s="1872" t="s">
        <v>5232</v>
      </c>
      <c r="H1442" s="1856">
        <v>0</v>
      </c>
      <c r="I1442" s="1856">
        <v>0</v>
      </c>
      <c r="J1442" s="1873">
        <v>0</v>
      </c>
      <c r="K1442" s="1860"/>
      <c r="L1442" s="1854">
        <v>13127000401</v>
      </c>
      <c r="M1442" s="1855">
        <v>1</v>
      </c>
      <c r="N1442" s="1855">
        <v>0</v>
      </c>
      <c r="O1442" s="1856">
        <v>1</v>
      </c>
    </row>
    <row r="1443" spans="3:15" ht="13.5">
      <c r="C1443" s="1861" t="s">
        <v>5233</v>
      </c>
      <c r="D1443" s="1858">
        <v>0</v>
      </c>
      <c r="E1443" s="1858">
        <v>1</v>
      </c>
      <c r="F1443" s="1859">
        <v>1</v>
      </c>
      <c r="G1443" s="1872" t="s">
        <v>5233</v>
      </c>
      <c r="H1443" s="1856">
        <v>0</v>
      </c>
      <c r="I1443" s="1856">
        <v>1</v>
      </c>
      <c r="J1443" s="1873">
        <v>1</v>
      </c>
      <c r="K1443" s="1860"/>
      <c r="L1443" s="1854">
        <v>13127000403</v>
      </c>
      <c r="M1443" s="1855">
        <v>0</v>
      </c>
      <c r="N1443" s="1855">
        <v>1</v>
      </c>
      <c r="O1443" s="1856">
        <v>1</v>
      </c>
    </row>
    <row r="1444" spans="3:15" ht="13.5">
      <c r="C1444" s="1861" t="s">
        <v>5234</v>
      </c>
      <c r="D1444" s="1858">
        <v>0</v>
      </c>
      <c r="E1444" s="1858">
        <v>1</v>
      </c>
      <c r="F1444" s="1859">
        <v>1</v>
      </c>
      <c r="G1444" s="1872" t="s">
        <v>5234</v>
      </c>
      <c r="H1444" s="1856">
        <v>0</v>
      </c>
      <c r="I1444" s="1856">
        <v>1</v>
      </c>
      <c r="J1444" s="1873">
        <v>1</v>
      </c>
      <c r="K1444" s="1860"/>
      <c r="L1444" s="1854">
        <v>13127000404</v>
      </c>
      <c r="M1444" s="1855">
        <v>0</v>
      </c>
      <c r="N1444" s="1855">
        <v>1</v>
      </c>
      <c r="O1444" s="1856">
        <v>1</v>
      </c>
    </row>
    <row r="1445" spans="3:15" ht="13.5">
      <c r="C1445" s="1861" t="s">
        <v>5235</v>
      </c>
      <c r="D1445" s="1858">
        <v>0</v>
      </c>
      <c r="E1445" s="1858">
        <v>0</v>
      </c>
      <c r="F1445" s="1859">
        <v>0</v>
      </c>
      <c r="G1445" s="1872" t="s">
        <v>5235</v>
      </c>
      <c r="H1445" s="1856">
        <v>0</v>
      </c>
      <c r="I1445" s="1856">
        <v>0</v>
      </c>
      <c r="J1445" s="1873">
        <v>0</v>
      </c>
      <c r="K1445" s="1860"/>
      <c r="L1445" s="1854">
        <v>13127000501</v>
      </c>
      <c r="M1445" s="1855">
        <v>0</v>
      </c>
      <c r="N1445" s="1855">
        <v>0</v>
      </c>
      <c r="O1445" s="1856">
        <v>0</v>
      </c>
    </row>
    <row r="1446" spans="3:15" ht="13.5">
      <c r="C1446" s="1861" t="s">
        <v>5236</v>
      </c>
      <c r="D1446" s="1858">
        <v>0</v>
      </c>
      <c r="E1446" s="1858">
        <v>0</v>
      </c>
      <c r="F1446" s="1859">
        <v>0</v>
      </c>
      <c r="G1446" s="1872" t="s">
        <v>5236</v>
      </c>
      <c r="H1446" s="1856">
        <v>0</v>
      </c>
      <c r="I1446" s="1856">
        <v>0</v>
      </c>
      <c r="J1446" s="1873">
        <v>0</v>
      </c>
      <c r="K1446" s="1860"/>
      <c r="L1446" s="1854">
        <v>13127000503</v>
      </c>
      <c r="M1446" s="1855">
        <v>0</v>
      </c>
      <c r="N1446" s="1855">
        <v>0</v>
      </c>
      <c r="O1446" s="1856">
        <v>0</v>
      </c>
    </row>
    <row r="1447" spans="3:15" ht="13.5">
      <c r="C1447" s="1861" t="s">
        <v>5237</v>
      </c>
      <c r="D1447" s="1858">
        <v>0</v>
      </c>
      <c r="E1447" s="1858">
        <v>0</v>
      </c>
      <c r="F1447" s="1859">
        <v>0</v>
      </c>
      <c r="G1447" s="1872" t="s">
        <v>5237</v>
      </c>
      <c r="H1447" s="1856">
        <v>0</v>
      </c>
      <c r="I1447" s="1856">
        <v>0</v>
      </c>
      <c r="J1447" s="1873">
        <v>0</v>
      </c>
      <c r="K1447" s="1860"/>
      <c r="L1447" s="1854">
        <v>13127000504</v>
      </c>
      <c r="M1447" s="1855">
        <v>0</v>
      </c>
      <c r="N1447" s="1855">
        <v>0</v>
      </c>
      <c r="O1447" s="1856">
        <v>0</v>
      </c>
    </row>
    <row r="1448" spans="3:15" ht="13.5">
      <c r="C1448" s="1861" t="s">
        <v>5238</v>
      </c>
      <c r="D1448" s="1858">
        <v>0</v>
      </c>
      <c r="E1448" s="1858">
        <v>0</v>
      </c>
      <c r="F1448" s="1859">
        <v>0</v>
      </c>
      <c r="G1448" s="1872" t="s">
        <v>5238</v>
      </c>
      <c r="H1448" s="1856">
        <v>0</v>
      </c>
      <c r="I1448" s="1856">
        <v>0</v>
      </c>
      <c r="J1448" s="1873">
        <v>0</v>
      </c>
      <c r="K1448" s="1860"/>
      <c r="L1448" s="1854">
        <v>13127000600</v>
      </c>
      <c r="M1448" s="1855">
        <v>0</v>
      </c>
      <c r="N1448" s="1855">
        <v>0</v>
      </c>
      <c r="O1448" s="1856">
        <v>0</v>
      </c>
    </row>
    <row r="1449" spans="3:15" ht="13.5">
      <c r="C1449" s="1861" t="s">
        <v>5239</v>
      </c>
      <c r="D1449" s="1858">
        <v>0</v>
      </c>
      <c r="E1449" s="1858">
        <v>0</v>
      </c>
      <c r="F1449" s="1859">
        <v>0</v>
      </c>
      <c r="G1449" s="1872" t="s">
        <v>5239</v>
      </c>
      <c r="H1449" s="1856">
        <v>0</v>
      </c>
      <c r="I1449" s="1856">
        <v>0</v>
      </c>
      <c r="J1449" s="1873">
        <v>0</v>
      </c>
      <c r="K1449" s="1860"/>
      <c r="L1449" s="1854">
        <v>13127000700</v>
      </c>
      <c r="M1449" s="1855">
        <v>0</v>
      </c>
      <c r="N1449" s="1855">
        <v>0</v>
      </c>
      <c r="O1449" s="1856">
        <v>0</v>
      </c>
    </row>
    <row r="1450" spans="3:15" ht="13.5">
      <c r="C1450" s="1861" t="s">
        <v>5240</v>
      </c>
      <c r="D1450" s="1858">
        <v>0</v>
      </c>
      <c r="E1450" s="1858">
        <v>0</v>
      </c>
      <c r="F1450" s="1859">
        <v>0</v>
      </c>
      <c r="G1450" s="1872" t="s">
        <v>5240</v>
      </c>
      <c r="H1450" s="1856">
        <v>0</v>
      </c>
      <c r="I1450" s="1856">
        <v>0</v>
      </c>
      <c r="J1450" s="1873">
        <v>0</v>
      </c>
      <c r="K1450" s="1860"/>
      <c r="L1450" s="1854">
        <v>13127000800</v>
      </c>
      <c r="M1450" s="1855">
        <v>0</v>
      </c>
      <c r="N1450" s="1855">
        <v>0</v>
      </c>
      <c r="O1450" s="1856">
        <v>0</v>
      </c>
    </row>
    <row r="1451" spans="3:15" ht="13.5">
      <c r="C1451" s="1861" t="s">
        <v>5241</v>
      </c>
      <c r="D1451" s="1858">
        <v>0</v>
      </c>
      <c r="E1451" s="1858">
        <v>0</v>
      </c>
      <c r="F1451" s="1859">
        <v>0</v>
      </c>
      <c r="G1451" s="1872" t="s">
        <v>5241</v>
      </c>
      <c r="H1451" s="1856">
        <v>0</v>
      </c>
      <c r="I1451" s="1856">
        <v>0</v>
      </c>
      <c r="J1451" s="1873">
        <v>0</v>
      </c>
      <c r="K1451" s="1860"/>
      <c r="L1451" s="1854">
        <v>13127000900</v>
      </c>
      <c r="M1451" s="1855">
        <v>0</v>
      </c>
      <c r="N1451" s="1855">
        <v>0</v>
      </c>
      <c r="O1451" s="1856">
        <v>0</v>
      </c>
    </row>
    <row r="1452" spans="3:15" ht="13.5">
      <c r="C1452" s="1861" t="s">
        <v>5242</v>
      </c>
      <c r="D1452" s="1858">
        <v>1</v>
      </c>
      <c r="E1452" s="1858">
        <v>1</v>
      </c>
      <c r="F1452" s="1859">
        <v>2</v>
      </c>
      <c r="G1452" s="1872" t="s">
        <v>5242</v>
      </c>
      <c r="H1452" s="1856">
        <v>1</v>
      </c>
      <c r="I1452" s="1856">
        <v>0</v>
      </c>
      <c r="J1452" s="1873">
        <v>1</v>
      </c>
      <c r="K1452" s="1860"/>
      <c r="L1452" s="1854">
        <v>13127001000</v>
      </c>
      <c r="M1452" s="1855">
        <v>1</v>
      </c>
      <c r="N1452" s="1855">
        <v>1</v>
      </c>
      <c r="O1452" s="1856">
        <v>2</v>
      </c>
    </row>
    <row r="1453" spans="3:15" ht="13.5">
      <c r="C1453" s="1861" t="s">
        <v>5243</v>
      </c>
      <c r="D1453" s="1858" t="s">
        <v>3909</v>
      </c>
      <c r="E1453" s="1858" t="s">
        <v>3909</v>
      </c>
      <c r="F1453" s="1859">
        <v>0</v>
      </c>
      <c r="G1453" s="1872" t="s">
        <v>5243</v>
      </c>
      <c r="H1453" s="1856" t="s">
        <v>3909</v>
      </c>
      <c r="I1453" s="1856" t="s">
        <v>3909</v>
      </c>
      <c r="J1453" s="1873">
        <v>0</v>
      </c>
      <c r="K1453" s="1860"/>
      <c r="L1453" s="1854">
        <v>13127990000</v>
      </c>
      <c r="M1453" s="1855">
        <v>0</v>
      </c>
      <c r="N1453" s="1855">
        <v>0</v>
      </c>
      <c r="O1453" s="1856">
        <v>0</v>
      </c>
    </row>
    <row r="1454" spans="3:15" ht="13.5">
      <c r="C1454" s="1861" t="s">
        <v>5244</v>
      </c>
      <c r="D1454" s="1858">
        <v>0</v>
      </c>
      <c r="E1454" s="1858">
        <v>0</v>
      </c>
      <c r="F1454" s="1859">
        <v>0</v>
      </c>
      <c r="G1454" s="1872" t="s">
        <v>5244</v>
      </c>
      <c r="H1454" s="1856">
        <v>0</v>
      </c>
      <c r="I1454" s="1856">
        <v>0</v>
      </c>
      <c r="J1454" s="1873">
        <v>0</v>
      </c>
      <c r="K1454" s="1860"/>
      <c r="L1454" s="1854">
        <v>13129970100</v>
      </c>
      <c r="M1454" s="1855">
        <v>0</v>
      </c>
      <c r="N1454" s="1855">
        <v>0</v>
      </c>
      <c r="O1454" s="1856">
        <v>0</v>
      </c>
    </row>
    <row r="1455" spans="3:15" ht="13.5">
      <c r="C1455" s="1861" t="s">
        <v>5245</v>
      </c>
      <c r="D1455" s="1858">
        <v>0</v>
      </c>
      <c r="E1455" s="1858">
        <v>0</v>
      </c>
      <c r="F1455" s="1859">
        <v>0</v>
      </c>
      <c r="G1455" s="1872" t="s">
        <v>5245</v>
      </c>
      <c r="H1455" s="1856">
        <v>0</v>
      </c>
      <c r="I1455" s="1856">
        <v>0</v>
      </c>
      <c r="J1455" s="1873">
        <v>0</v>
      </c>
      <c r="K1455" s="1860"/>
      <c r="L1455" s="1854">
        <v>13129970200</v>
      </c>
      <c r="M1455" s="1855">
        <v>0</v>
      </c>
      <c r="N1455" s="1855">
        <v>0</v>
      </c>
      <c r="O1455" s="1856">
        <v>0</v>
      </c>
    </row>
    <row r="1456" spans="3:15" ht="13.5">
      <c r="C1456" s="1861" t="s">
        <v>5246</v>
      </c>
      <c r="D1456" s="1858">
        <v>0</v>
      </c>
      <c r="E1456" s="1858">
        <v>0</v>
      </c>
      <c r="F1456" s="1859">
        <v>0</v>
      </c>
      <c r="G1456" s="1872" t="s">
        <v>5246</v>
      </c>
      <c r="H1456" s="1856">
        <v>0</v>
      </c>
      <c r="I1456" s="1856">
        <v>0</v>
      </c>
      <c r="J1456" s="1873">
        <v>0</v>
      </c>
      <c r="K1456" s="1860"/>
      <c r="L1456" s="1854">
        <v>13129970300</v>
      </c>
      <c r="M1456" s="1855">
        <v>0</v>
      </c>
      <c r="N1456" s="1855">
        <v>0</v>
      </c>
      <c r="O1456" s="1856">
        <v>0</v>
      </c>
    </row>
    <row r="1457" spans="3:15" ht="13.5">
      <c r="C1457" s="1861" t="s">
        <v>5247</v>
      </c>
      <c r="D1457" s="1858">
        <v>0</v>
      </c>
      <c r="E1457" s="1858">
        <v>0</v>
      </c>
      <c r="F1457" s="1859">
        <v>0</v>
      </c>
      <c r="G1457" s="1872" t="s">
        <v>5247</v>
      </c>
      <c r="H1457" s="1856">
        <v>0</v>
      </c>
      <c r="I1457" s="1856">
        <v>0</v>
      </c>
      <c r="J1457" s="1873">
        <v>0</v>
      </c>
      <c r="K1457" s="1860"/>
      <c r="L1457" s="1854">
        <v>13129970400</v>
      </c>
      <c r="M1457" s="1855">
        <v>0</v>
      </c>
      <c r="N1457" s="1855">
        <v>0</v>
      </c>
      <c r="O1457" s="1856">
        <v>0</v>
      </c>
    </row>
    <row r="1458" spans="3:15" ht="13.5">
      <c r="C1458" s="1861" t="s">
        <v>5248</v>
      </c>
      <c r="D1458" s="1858">
        <v>0</v>
      </c>
      <c r="E1458" s="1858">
        <v>0</v>
      </c>
      <c r="F1458" s="1859">
        <v>0</v>
      </c>
      <c r="G1458" s="1872" t="s">
        <v>5248</v>
      </c>
      <c r="H1458" s="1856">
        <v>0</v>
      </c>
      <c r="I1458" s="1856">
        <v>0</v>
      </c>
      <c r="J1458" s="1873">
        <v>0</v>
      </c>
      <c r="K1458" s="1860"/>
      <c r="L1458" s="1854">
        <v>13129970500</v>
      </c>
      <c r="M1458" s="1855">
        <v>0</v>
      </c>
      <c r="N1458" s="1855">
        <v>0</v>
      </c>
      <c r="O1458" s="1856">
        <v>0</v>
      </c>
    </row>
    <row r="1459" spans="3:15" ht="13.5">
      <c r="C1459" s="1861" t="s">
        <v>5249</v>
      </c>
      <c r="D1459" s="1858">
        <v>0</v>
      </c>
      <c r="E1459" s="1858">
        <v>0</v>
      </c>
      <c r="F1459" s="1859">
        <v>0</v>
      </c>
      <c r="G1459" s="1872" t="s">
        <v>5249</v>
      </c>
      <c r="H1459" s="1856">
        <v>0</v>
      </c>
      <c r="I1459" s="1856">
        <v>0</v>
      </c>
      <c r="J1459" s="1873">
        <v>0</v>
      </c>
      <c r="K1459" s="1860"/>
      <c r="L1459" s="1854">
        <v>13129970600</v>
      </c>
      <c r="M1459" s="1855">
        <v>0</v>
      </c>
      <c r="N1459" s="1855">
        <v>0</v>
      </c>
      <c r="O1459" s="1856">
        <v>0</v>
      </c>
    </row>
    <row r="1460" spans="3:15" ht="13.5">
      <c r="C1460" s="1861" t="s">
        <v>5250</v>
      </c>
      <c r="D1460" s="1858">
        <v>0</v>
      </c>
      <c r="E1460" s="1858">
        <v>0</v>
      </c>
      <c r="F1460" s="1859">
        <v>0</v>
      </c>
      <c r="G1460" s="1872" t="s">
        <v>5250</v>
      </c>
      <c r="H1460" s="1856">
        <v>0</v>
      </c>
      <c r="I1460" s="1856">
        <v>0</v>
      </c>
      <c r="J1460" s="1873">
        <v>0</v>
      </c>
      <c r="K1460" s="1860"/>
      <c r="L1460" s="1854">
        <v>13129970700</v>
      </c>
      <c r="M1460" s="1855">
        <v>0</v>
      </c>
      <c r="N1460" s="1855">
        <v>0</v>
      </c>
      <c r="O1460" s="1856">
        <v>0</v>
      </c>
    </row>
    <row r="1461" spans="3:15" ht="13.5">
      <c r="C1461" s="1861" t="s">
        <v>5251</v>
      </c>
      <c r="D1461" s="1858">
        <v>1</v>
      </c>
      <c r="E1461" s="1858">
        <v>1</v>
      </c>
      <c r="F1461" s="1859">
        <v>2</v>
      </c>
      <c r="G1461" s="1872" t="s">
        <v>5251</v>
      </c>
      <c r="H1461" s="1856">
        <v>1</v>
      </c>
      <c r="I1461" s="1856">
        <v>1</v>
      </c>
      <c r="J1461" s="1873">
        <v>2</v>
      </c>
      <c r="K1461" s="1860"/>
      <c r="L1461" s="1854">
        <v>13129970800</v>
      </c>
      <c r="M1461" s="1855">
        <v>1</v>
      </c>
      <c r="N1461" s="1855">
        <v>1</v>
      </c>
      <c r="O1461" s="1856">
        <v>2</v>
      </c>
    </row>
    <row r="1462" spans="3:15" ht="13.5">
      <c r="C1462" s="1861" t="s">
        <v>5252</v>
      </c>
      <c r="D1462" s="1858">
        <v>1</v>
      </c>
      <c r="E1462" s="1858">
        <v>0</v>
      </c>
      <c r="F1462" s="1859">
        <v>1</v>
      </c>
      <c r="G1462" s="1872" t="s">
        <v>5252</v>
      </c>
      <c r="H1462" s="1856">
        <v>1</v>
      </c>
      <c r="I1462" s="1856">
        <v>1</v>
      </c>
      <c r="J1462" s="1873">
        <v>2</v>
      </c>
      <c r="K1462" s="1860"/>
      <c r="L1462" s="1854">
        <v>13129970900</v>
      </c>
      <c r="M1462" s="1855">
        <v>1</v>
      </c>
      <c r="N1462" s="1855">
        <v>1</v>
      </c>
      <c r="O1462" s="1856">
        <v>2</v>
      </c>
    </row>
    <row r="1463" spans="3:15" ht="13.5">
      <c r="C1463" s="1861" t="s">
        <v>5253</v>
      </c>
      <c r="D1463" s="1858">
        <v>0</v>
      </c>
      <c r="E1463" s="1858">
        <v>0</v>
      </c>
      <c r="F1463" s="1859">
        <v>0</v>
      </c>
      <c r="G1463" s="1872" t="s">
        <v>5253</v>
      </c>
      <c r="H1463" s="1856">
        <v>0</v>
      </c>
      <c r="I1463" s="1856">
        <v>1</v>
      </c>
      <c r="J1463" s="1873">
        <v>1</v>
      </c>
      <c r="K1463" s="1860"/>
      <c r="L1463" s="1854">
        <v>13131950100</v>
      </c>
      <c r="M1463" s="1855">
        <v>0</v>
      </c>
      <c r="N1463" s="1855">
        <v>1</v>
      </c>
      <c r="O1463" s="1856">
        <v>1</v>
      </c>
    </row>
    <row r="1464" spans="3:15" ht="13.5">
      <c r="C1464" s="1861" t="s">
        <v>5254</v>
      </c>
      <c r="D1464" s="1858">
        <v>0</v>
      </c>
      <c r="E1464" s="1858">
        <v>0</v>
      </c>
      <c r="F1464" s="1859">
        <v>0</v>
      </c>
      <c r="G1464" s="1872" t="s">
        <v>5254</v>
      </c>
      <c r="H1464" s="1856">
        <v>0</v>
      </c>
      <c r="I1464" s="1856">
        <v>0</v>
      </c>
      <c r="J1464" s="1873">
        <v>0</v>
      </c>
      <c r="K1464" s="1860"/>
      <c r="L1464" s="1854">
        <v>13131950200</v>
      </c>
      <c r="M1464" s="1855">
        <v>0</v>
      </c>
      <c r="N1464" s="1855">
        <v>0</v>
      </c>
      <c r="O1464" s="1856">
        <v>0</v>
      </c>
    </row>
    <row r="1465" spans="3:15" ht="13.5">
      <c r="C1465" s="1861" t="s">
        <v>5255</v>
      </c>
      <c r="D1465" s="1858">
        <v>0</v>
      </c>
      <c r="E1465" s="1858">
        <v>0</v>
      </c>
      <c r="F1465" s="1859">
        <v>0</v>
      </c>
      <c r="G1465" s="1872" t="s">
        <v>5255</v>
      </c>
      <c r="H1465" s="1856">
        <v>0</v>
      </c>
      <c r="I1465" s="1856">
        <v>0</v>
      </c>
      <c r="J1465" s="1873">
        <v>0</v>
      </c>
      <c r="K1465" s="1860"/>
      <c r="L1465" s="1854">
        <v>13131950300</v>
      </c>
      <c r="M1465" s="1855">
        <v>0</v>
      </c>
      <c r="N1465" s="1855">
        <v>0</v>
      </c>
      <c r="O1465" s="1856">
        <v>0</v>
      </c>
    </row>
    <row r="1466" spans="3:15" ht="13.5">
      <c r="C1466" s="1861" t="s">
        <v>5256</v>
      </c>
      <c r="D1466" s="1858">
        <v>0</v>
      </c>
      <c r="E1466" s="1858">
        <v>0</v>
      </c>
      <c r="F1466" s="1859">
        <v>0</v>
      </c>
      <c r="G1466" s="1872" t="s">
        <v>5256</v>
      </c>
      <c r="H1466" s="1856">
        <v>0</v>
      </c>
      <c r="I1466" s="1856">
        <v>0</v>
      </c>
      <c r="J1466" s="1873">
        <v>0</v>
      </c>
      <c r="K1466" s="1860"/>
      <c r="L1466" s="1854">
        <v>13131950400</v>
      </c>
      <c r="M1466" s="1855">
        <v>0</v>
      </c>
      <c r="N1466" s="1855">
        <v>0</v>
      </c>
      <c r="O1466" s="1856">
        <v>0</v>
      </c>
    </row>
    <row r="1467" spans="3:15" ht="13.5">
      <c r="C1467" s="1861" t="s">
        <v>5257</v>
      </c>
      <c r="D1467" s="1858">
        <v>0</v>
      </c>
      <c r="E1467" s="1858">
        <v>0</v>
      </c>
      <c r="F1467" s="1859">
        <v>0</v>
      </c>
      <c r="G1467" s="1872" t="s">
        <v>5257</v>
      </c>
      <c r="H1467" s="1856">
        <v>0</v>
      </c>
      <c r="I1467" s="1856">
        <v>0</v>
      </c>
      <c r="J1467" s="1873">
        <v>0</v>
      </c>
      <c r="K1467" s="1860"/>
      <c r="L1467" s="1854">
        <v>13131950500</v>
      </c>
      <c r="M1467" s="1855">
        <v>0</v>
      </c>
      <c r="N1467" s="1855">
        <v>0</v>
      </c>
      <c r="O1467" s="1856">
        <v>0</v>
      </c>
    </row>
    <row r="1468" spans="3:15" ht="13.5">
      <c r="C1468" s="1861" t="s">
        <v>5258</v>
      </c>
      <c r="D1468" s="1858">
        <v>1</v>
      </c>
      <c r="E1468" s="1858">
        <v>0</v>
      </c>
      <c r="F1468" s="1859">
        <v>1</v>
      </c>
      <c r="G1468" s="1872" t="s">
        <v>5258</v>
      </c>
      <c r="H1468" s="1856">
        <v>1</v>
      </c>
      <c r="I1468" s="1856">
        <v>1</v>
      </c>
      <c r="J1468" s="1873">
        <v>2</v>
      </c>
      <c r="K1468" s="1860"/>
      <c r="L1468" s="1854">
        <v>13131950600</v>
      </c>
      <c r="M1468" s="1855">
        <v>1</v>
      </c>
      <c r="N1468" s="1855">
        <v>1</v>
      </c>
      <c r="O1468" s="1856">
        <v>2</v>
      </c>
    </row>
    <row r="1469" spans="3:15" ht="13.5">
      <c r="C1469" s="1861" t="s">
        <v>5259</v>
      </c>
      <c r="D1469" s="1858">
        <v>0</v>
      </c>
      <c r="E1469" s="1858">
        <v>0</v>
      </c>
      <c r="F1469" s="1859">
        <v>0</v>
      </c>
      <c r="G1469" s="1872" t="s">
        <v>5259</v>
      </c>
      <c r="H1469" s="1856">
        <v>0</v>
      </c>
      <c r="I1469" s="1856" t="s">
        <v>3909</v>
      </c>
      <c r="J1469" s="1873">
        <v>0</v>
      </c>
      <c r="K1469" s="1860"/>
      <c r="L1469" s="1854">
        <v>13133950100</v>
      </c>
      <c r="M1469" s="1855">
        <v>0</v>
      </c>
      <c r="N1469" s="1855">
        <v>0</v>
      </c>
      <c r="O1469" s="1856">
        <v>0</v>
      </c>
    </row>
    <row r="1470" spans="3:15" ht="13.5">
      <c r="C1470" s="1861" t="s">
        <v>5260</v>
      </c>
      <c r="D1470" s="1858">
        <v>0</v>
      </c>
      <c r="E1470" s="1858">
        <v>0</v>
      </c>
      <c r="F1470" s="1859">
        <v>0</v>
      </c>
      <c r="G1470" s="1872" t="s">
        <v>5260</v>
      </c>
      <c r="H1470" s="1856">
        <v>0</v>
      </c>
      <c r="I1470" s="1856">
        <v>0</v>
      </c>
      <c r="J1470" s="1873">
        <v>0</v>
      </c>
      <c r="K1470" s="1860"/>
      <c r="L1470" s="1854">
        <v>13133950200</v>
      </c>
      <c r="M1470" s="1855">
        <v>0</v>
      </c>
      <c r="N1470" s="1855">
        <v>0</v>
      </c>
      <c r="O1470" s="1856">
        <v>0</v>
      </c>
    </row>
    <row r="1471" spans="3:15" ht="13.5">
      <c r="C1471" s="1861" t="s">
        <v>5261</v>
      </c>
      <c r="D1471" s="1858">
        <v>1</v>
      </c>
      <c r="E1471" s="1858">
        <v>1</v>
      </c>
      <c r="F1471" s="1859">
        <v>2</v>
      </c>
      <c r="G1471" s="1872" t="s">
        <v>5261</v>
      </c>
      <c r="H1471" s="1856">
        <v>1</v>
      </c>
      <c r="I1471" s="1856" t="s">
        <v>3909</v>
      </c>
      <c r="J1471" s="1873">
        <v>1</v>
      </c>
      <c r="K1471" s="1860"/>
      <c r="L1471" s="1854">
        <v>13133950301</v>
      </c>
      <c r="M1471" s="1855">
        <v>1</v>
      </c>
      <c r="N1471" s="1855">
        <v>1</v>
      </c>
      <c r="O1471" s="1856">
        <v>2</v>
      </c>
    </row>
    <row r="1472" spans="3:15" ht="13.5">
      <c r="C1472" s="1861" t="s">
        <v>5262</v>
      </c>
      <c r="D1472" s="1858">
        <v>1</v>
      </c>
      <c r="E1472" s="1858">
        <v>1</v>
      </c>
      <c r="F1472" s="1859">
        <v>2</v>
      </c>
      <c r="G1472" s="1872" t="s">
        <v>5262</v>
      </c>
      <c r="H1472" s="1856">
        <v>1</v>
      </c>
      <c r="I1472" s="1856">
        <v>1</v>
      </c>
      <c r="J1472" s="1873">
        <v>2</v>
      </c>
      <c r="K1472" s="1860"/>
      <c r="L1472" s="1854">
        <v>13133950302</v>
      </c>
      <c r="M1472" s="1855">
        <v>1</v>
      </c>
      <c r="N1472" s="1855">
        <v>1</v>
      </c>
      <c r="O1472" s="1856">
        <v>2</v>
      </c>
    </row>
    <row r="1473" spans="3:15" ht="13.5">
      <c r="C1473" s="1861" t="s">
        <v>5263</v>
      </c>
      <c r="D1473" s="1858">
        <v>0</v>
      </c>
      <c r="E1473" s="1858">
        <v>0</v>
      </c>
      <c r="F1473" s="1859">
        <v>0</v>
      </c>
      <c r="G1473" s="1872" t="s">
        <v>5263</v>
      </c>
      <c r="H1473" s="1856">
        <v>0</v>
      </c>
      <c r="I1473" s="1856">
        <v>0</v>
      </c>
      <c r="J1473" s="1873">
        <v>0</v>
      </c>
      <c r="K1473" s="1860"/>
      <c r="L1473" s="1854">
        <v>13133950303</v>
      </c>
      <c r="M1473" s="1855">
        <v>0</v>
      </c>
      <c r="N1473" s="1855">
        <v>0</v>
      </c>
      <c r="O1473" s="1856">
        <v>0</v>
      </c>
    </row>
    <row r="1474" spans="3:15" ht="13.5">
      <c r="C1474" s="1861" t="s">
        <v>5264</v>
      </c>
      <c r="D1474" s="1858">
        <v>0</v>
      </c>
      <c r="E1474" s="1858">
        <v>0</v>
      </c>
      <c r="F1474" s="1859">
        <v>0</v>
      </c>
      <c r="G1474" s="1872" t="s">
        <v>5264</v>
      </c>
      <c r="H1474" s="1856">
        <v>0</v>
      </c>
      <c r="I1474" s="1856">
        <v>0</v>
      </c>
      <c r="J1474" s="1873">
        <v>0</v>
      </c>
      <c r="K1474" s="1860"/>
      <c r="L1474" s="1854">
        <v>13133950400</v>
      </c>
      <c r="M1474" s="1855">
        <v>0</v>
      </c>
      <c r="N1474" s="1855">
        <v>0</v>
      </c>
      <c r="O1474" s="1856">
        <v>0</v>
      </c>
    </row>
    <row r="1475" spans="3:15" ht="13.5">
      <c r="C1475" s="1861" t="s">
        <v>5265</v>
      </c>
      <c r="D1475" s="1858">
        <v>1</v>
      </c>
      <c r="E1475" s="1858">
        <v>0</v>
      </c>
      <c r="F1475" s="1859">
        <v>1</v>
      </c>
      <c r="G1475" s="1872" t="s">
        <v>5265</v>
      </c>
      <c r="H1475" s="1856">
        <v>0</v>
      </c>
      <c r="I1475" s="1856">
        <v>0</v>
      </c>
      <c r="J1475" s="1873">
        <v>0</v>
      </c>
      <c r="K1475" s="1860"/>
      <c r="L1475" s="1854">
        <v>13133950500</v>
      </c>
      <c r="M1475" s="1855">
        <v>1</v>
      </c>
      <c r="N1475" s="1855">
        <v>0</v>
      </c>
      <c r="O1475" s="1856">
        <v>1</v>
      </c>
    </row>
    <row r="1476" spans="3:15" ht="13.5">
      <c r="C1476" s="1861" t="s">
        <v>5266</v>
      </c>
      <c r="D1476" s="1858">
        <v>1</v>
      </c>
      <c r="E1476" s="1858">
        <v>1</v>
      </c>
      <c r="F1476" s="1859">
        <v>2</v>
      </c>
      <c r="G1476" s="1872" t="s">
        <v>5266</v>
      </c>
      <c r="H1476" s="1856">
        <v>1</v>
      </c>
      <c r="I1476" s="1856">
        <v>0</v>
      </c>
      <c r="J1476" s="1873">
        <v>1</v>
      </c>
      <c r="K1476" s="1860"/>
      <c r="L1476" s="1854">
        <v>13135050103</v>
      </c>
      <c r="M1476" s="1855">
        <v>1</v>
      </c>
      <c r="N1476" s="1855">
        <v>1</v>
      </c>
      <c r="O1476" s="1856">
        <v>2</v>
      </c>
    </row>
    <row r="1477" spans="3:15" ht="13.5">
      <c r="C1477" s="1861" t="s">
        <v>5267</v>
      </c>
      <c r="D1477" s="1858">
        <v>0</v>
      </c>
      <c r="E1477" s="1858">
        <v>0</v>
      </c>
      <c r="F1477" s="1859">
        <v>0</v>
      </c>
      <c r="G1477" s="1872" t="s">
        <v>5267</v>
      </c>
      <c r="H1477" s="1856">
        <v>0</v>
      </c>
      <c r="I1477" s="1856">
        <v>0</v>
      </c>
      <c r="J1477" s="1873">
        <v>0</v>
      </c>
      <c r="K1477" s="1860"/>
      <c r="L1477" s="1854">
        <v>13135050105</v>
      </c>
      <c r="M1477" s="1855">
        <v>0</v>
      </c>
      <c r="N1477" s="1855">
        <v>0</v>
      </c>
      <c r="O1477" s="1856">
        <v>0</v>
      </c>
    </row>
    <row r="1478" spans="3:15" ht="13.5">
      <c r="C1478" s="1861" t="s">
        <v>5268</v>
      </c>
      <c r="D1478" s="1858">
        <v>1</v>
      </c>
      <c r="E1478" s="1858">
        <v>0</v>
      </c>
      <c r="F1478" s="1859">
        <v>1</v>
      </c>
      <c r="G1478" s="1872" t="s">
        <v>5268</v>
      </c>
      <c r="H1478" s="1856">
        <v>1</v>
      </c>
      <c r="I1478" s="1856">
        <v>0</v>
      </c>
      <c r="J1478" s="1873">
        <v>1</v>
      </c>
      <c r="K1478" s="1860"/>
      <c r="L1478" s="1854">
        <v>13135050106</v>
      </c>
      <c r="M1478" s="1855">
        <v>1</v>
      </c>
      <c r="N1478" s="1855">
        <v>0</v>
      </c>
      <c r="O1478" s="1856">
        <v>1</v>
      </c>
    </row>
    <row r="1479" spans="3:15" ht="13.5">
      <c r="C1479" s="1861" t="s">
        <v>5269</v>
      </c>
      <c r="D1479" s="1858">
        <v>1</v>
      </c>
      <c r="E1479" s="1858">
        <v>1</v>
      </c>
      <c r="F1479" s="1859">
        <v>2</v>
      </c>
      <c r="G1479" s="1872" t="s">
        <v>5269</v>
      </c>
      <c r="H1479" s="1856">
        <v>1</v>
      </c>
      <c r="I1479" s="1856">
        <v>1</v>
      </c>
      <c r="J1479" s="1873">
        <v>2</v>
      </c>
      <c r="K1479" s="1860"/>
      <c r="L1479" s="1854">
        <v>13135050107</v>
      </c>
      <c r="M1479" s="1855">
        <v>1</v>
      </c>
      <c r="N1479" s="1855">
        <v>1</v>
      </c>
      <c r="O1479" s="1856">
        <v>2</v>
      </c>
    </row>
    <row r="1480" spans="3:15" ht="13.5">
      <c r="C1480" s="1861" t="s">
        <v>5270</v>
      </c>
      <c r="D1480" s="1858">
        <v>1</v>
      </c>
      <c r="E1480" s="1858">
        <v>1</v>
      </c>
      <c r="F1480" s="1859">
        <v>2</v>
      </c>
      <c r="G1480" s="1872" t="s">
        <v>5270</v>
      </c>
      <c r="H1480" s="1856">
        <v>1</v>
      </c>
      <c r="I1480" s="1856">
        <v>1</v>
      </c>
      <c r="J1480" s="1873">
        <v>2</v>
      </c>
      <c r="K1480" s="1860"/>
      <c r="L1480" s="1854">
        <v>13135050108</v>
      </c>
      <c r="M1480" s="1855">
        <v>1</v>
      </c>
      <c r="N1480" s="1855">
        <v>1</v>
      </c>
      <c r="O1480" s="1856">
        <v>2</v>
      </c>
    </row>
    <row r="1481" spans="3:15" ht="13.5">
      <c r="C1481" s="1861" t="s">
        <v>5271</v>
      </c>
      <c r="D1481" s="1858">
        <v>1</v>
      </c>
      <c r="E1481" s="1858">
        <v>1</v>
      </c>
      <c r="F1481" s="1859">
        <v>2</v>
      </c>
      <c r="G1481" s="1872" t="s">
        <v>5271</v>
      </c>
      <c r="H1481" s="1856">
        <v>1</v>
      </c>
      <c r="I1481" s="1856">
        <v>0</v>
      </c>
      <c r="J1481" s="1873">
        <v>1</v>
      </c>
      <c r="K1481" s="1860"/>
      <c r="L1481" s="1854">
        <v>13135050109</v>
      </c>
      <c r="M1481" s="1855">
        <v>1</v>
      </c>
      <c r="N1481" s="1855">
        <v>1</v>
      </c>
      <c r="O1481" s="1856">
        <v>2</v>
      </c>
    </row>
    <row r="1482" spans="3:15" ht="13.5">
      <c r="C1482" s="1861" t="s">
        <v>5272</v>
      </c>
      <c r="D1482" s="1858">
        <v>1</v>
      </c>
      <c r="E1482" s="1858">
        <v>0</v>
      </c>
      <c r="F1482" s="1859">
        <v>1</v>
      </c>
      <c r="G1482" s="1872" t="s">
        <v>5272</v>
      </c>
      <c r="H1482" s="1856">
        <v>1</v>
      </c>
      <c r="I1482" s="1856">
        <v>0</v>
      </c>
      <c r="J1482" s="1873">
        <v>1</v>
      </c>
      <c r="K1482" s="1860"/>
      <c r="L1482" s="1854">
        <v>13135050205</v>
      </c>
      <c r="M1482" s="1855">
        <v>1</v>
      </c>
      <c r="N1482" s="1855">
        <v>0</v>
      </c>
      <c r="O1482" s="1856">
        <v>1</v>
      </c>
    </row>
    <row r="1483" spans="3:15" ht="13.5">
      <c r="C1483" s="1861" t="s">
        <v>5273</v>
      </c>
      <c r="D1483" s="1858">
        <v>1</v>
      </c>
      <c r="E1483" s="1858">
        <v>1</v>
      </c>
      <c r="F1483" s="1859">
        <v>2</v>
      </c>
      <c r="G1483" s="1872" t="s">
        <v>5273</v>
      </c>
      <c r="H1483" s="1856">
        <v>1</v>
      </c>
      <c r="I1483" s="1856">
        <v>1</v>
      </c>
      <c r="J1483" s="1873">
        <v>2</v>
      </c>
      <c r="K1483" s="1860"/>
      <c r="L1483" s="1854">
        <v>13135050208</v>
      </c>
      <c r="M1483" s="1855">
        <v>1</v>
      </c>
      <c r="N1483" s="1855">
        <v>1</v>
      </c>
      <c r="O1483" s="1856">
        <v>2</v>
      </c>
    </row>
    <row r="1484" spans="3:15" ht="13.5">
      <c r="C1484" s="1861" t="s">
        <v>5274</v>
      </c>
      <c r="D1484" s="1858">
        <v>0</v>
      </c>
      <c r="E1484" s="1858">
        <v>0</v>
      </c>
      <c r="F1484" s="1859">
        <v>0</v>
      </c>
      <c r="G1484" s="1872" t="s">
        <v>5274</v>
      </c>
      <c r="H1484" s="1856">
        <v>1</v>
      </c>
      <c r="I1484" s="1856">
        <v>0</v>
      </c>
      <c r="J1484" s="1873">
        <v>1</v>
      </c>
      <c r="K1484" s="1860"/>
      <c r="L1484" s="1854">
        <v>13135050209</v>
      </c>
      <c r="M1484" s="1855">
        <v>1</v>
      </c>
      <c r="N1484" s="1855">
        <v>0</v>
      </c>
      <c r="O1484" s="1856">
        <v>1</v>
      </c>
    </row>
    <row r="1485" spans="3:15" ht="13.5">
      <c r="C1485" s="1861" t="s">
        <v>5275</v>
      </c>
      <c r="D1485" s="1858">
        <v>1</v>
      </c>
      <c r="E1485" s="1858">
        <v>1</v>
      </c>
      <c r="F1485" s="1859">
        <v>2</v>
      </c>
      <c r="G1485" s="1872" t="s">
        <v>5275</v>
      </c>
      <c r="H1485" s="1856">
        <v>1</v>
      </c>
      <c r="I1485" s="1856">
        <v>1</v>
      </c>
      <c r="J1485" s="1873">
        <v>2</v>
      </c>
      <c r="K1485" s="1860"/>
      <c r="L1485" s="1854">
        <v>13135050210</v>
      </c>
      <c r="M1485" s="1855">
        <v>1</v>
      </c>
      <c r="N1485" s="1855">
        <v>1</v>
      </c>
      <c r="O1485" s="1856">
        <v>2</v>
      </c>
    </row>
    <row r="1486" spans="3:15" ht="13.5">
      <c r="C1486" s="1861" t="s">
        <v>5276</v>
      </c>
      <c r="D1486" s="1858">
        <v>0</v>
      </c>
      <c r="E1486" s="1858">
        <v>0</v>
      </c>
      <c r="F1486" s="1859">
        <v>0</v>
      </c>
      <c r="G1486" s="1872" t="s">
        <v>5276</v>
      </c>
      <c r="H1486" s="1856">
        <v>0</v>
      </c>
      <c r="I1486" s="1856">
        <v>0</v>
      </c>
      <c r="J1486" s="1873">
        <v>0</v>
      </c>
      <c r="K1486" s="1860"/>
      <c r="L1486" s="1854">
        <v>13135050211</v>
      </c>
      <c r="M1486" s="1855">
        <v>0</v>
      </c>
      <c r="N1486" s="1855">
        <v>0</v>
      </c>
      <c r="O1486" s="1856">
        <v>0</v>
      </c>
    </row>
    <row r="1487" spans="3:15" ht="13.5">
      <c r="C1487" s="1861" t="s">
        <v>5277</v>
      </c>
      <c r="D1487" s="1858">
        <v>1</v>
      </c>
      <c r="E1487" s="1858">
        <v>1</v>
      </c>
      <c r="F1487" s="1859">
        <v>2</v>
      </c>
      <c r="G1487" s="1872" t="s">
        <v>5277</v>
      </c>
      <c r="H1487" s="1856">
        <v>1</v>
      </c>
      <c r="I1487" s="1856">
        <v>1</v>
      </c>
      <c r="J1487" s="1873">
        <v>2</v>
      </c>
      <c r="K1487" s="1860"/>
      <c r="L1487" s="1854">
        <v>13135050212</v>
      </c>
      <c r="M1487" s="1855">
        <v>1</v>
      </c>
      <c r="N1487" s="1855">
        <v>1</v>
      </c>
      <c r="O1487" s="1856">
        <v>2</v>
      </c>
    </row>
    <row r="1488" spans="3:15" ht="13.5">
      <c r="C1488" s="1861" t="s">
        <v>5278</v>
      </c>
      <c r="D1488" s="1858">
        <v>1</v>
      </c>
      <c r="E1488" s="1858">
        <v>1</v>
      </c>
      <c r="F1488" s="1859">
        <v>2</v>
      </c>
      <c r="G1488" s="1872" t="s">
        <v>5278</v>
      </c>
      <c r="H1488" s="1856">
        <v>1</v>
      </c>
      <c r="I1488" s="1856">
        <v>1</v>
      </c>
      <c r="J1488" s="1873">
        <v>2</v>
      </c>
      <c r="K1488" s="1860"/>
      <c r="L1488" s="1854">
        <v>13135050213</v>
      </c>
      <c r="M1488" s="1855">
        <v>1</v>
      </c>
      <c r="N1488" s="1855">
        <v>1</v>
      </c>
      <c r="O1488" s="1856">
        <v>2</v>
      </c>
    </row>
    <row r="1489" spans="3:15" ht="13.5">
      <c r="C1489" s="1861" t="s">
        <v>5279</v>
      </c>
      <c r="D1489" s="1858">
        <v>1</v>
      </c>
      <c r="E1489" s="1858">
        <v>1</v>
      </c>
      <c r="F1489" s="1859">
        <v>2</v>
      </c>
      <c r="G1489" s="1872" t="s">
        <v>5279</v>
      </c>
      <c r="H1489" s="1856">
        <v>1</v>
      </c>
      <c r="I1489" s="1856">
        <v>1</v>
      </c>
      <c r="J1489" s="1873">
        <v>2</v>
      </c>
      <c r="K1489" s="1860"/>
      <c r="L1489" s="1854">
        <v>13135050214</v>
      </c>
      <c r="M1489" s="1855">
        <v>1</v>
      </c>
      <c r="N1489" s="1855">
        <v>1</v>
      </c>
      <c r="O1489" s="1856">
        <v>2</v>
      </c>
    </row>
    <row r="1490" spans="3:15" ht="13.5">
      <c r="C1490" s="1861" t="s">
        <v>5280</v>
      </c>
      <c r="D1490" s="1858">
        <v>1</v>
      </c>
      <c r="E1490" s="1858">
        <v>1</v>
      </c>
      <c r="F1490" s="1859">
        <v>2</v>
      </c>
      <c r="G1490" s="1872" t="s">
        <v>5280</v>
      </c>
      <c r="H1490" s="1856">
        <v>1</v>
      </c>
      <c r="I1490" s="1856" t="s">
        <v>3909</v>
      </c>
      <c r="J1490" s="1873">
        <v>1</v>
      </c>
      <c r="K1490" s="1860"/>
      <c r="L1490" s="1854">
        <v>13135050215</v>
      </c>
      <c r="M1490" s="1855">
        <v>1</v>
      </c>
      <c r="N1490" s="1855">
        <v>1</v>
      </c>
      <c r="O1490" s="1856">
        <v>2</v>
      </c>
    </row>
    <row r="1491" spans="3:15" ht="13.5">
      <c r="C1491" s="1861" t="s">
        <v>5281</v>
      </c>
      <c r="D1491" s="1858">
        <v>1</v>
      </c>
      <c r="E1491" s="1858">
        <v>1</v>
      </c>
      <c r="F1491" s="1859">
        <v>2</v>
      </c>
      <c r="G1491" s="1872" t="s">
        <v>5281</v>
      </c>
      <c r="H1491" s="1856">
        <v>1</v>
      </c>
      <c r="I1491" s="1856">
        <v>1</v>
      </c>
      <c r="J1491" s="1873">
        <v>2</v>
      </c>
      <c r="K1491" s="1860"/>
      <c r="L1491" s="1854">
        <v>13135050216</v>
      </c>
      <c r="M1491" s="1855">
        <v>1</v>
      </c>
      <c r="N1491" s="1855">
        <v>1</v>
      </c>
      <c r="O1491" s="1856">
        <v>2</v>
      </c>
    </row>
    <row r="1492" spans="3:15" ht="13.5">
      <c r="C1492" s="1861" t="s">
        <v>5282</v>
      </c>
      <c r="D1492" s="1858">
        <v>1</v>
      </c>
      <c r="E1492" s="1858">
        <v>1</v>
      </c>
      <c r="F1492" s="1859">
        <v>2</v>
      </c>
      <c r="G1492" s="1872" t="s">
        <v>5282</v>
      </c>
      <c r="H1492" s="1856">
        <v>1</v>
      </c>
      <c r="I1492" s="1856">
        <v>1</v>
      </c>
      <c r="J1492" s="1873">
        <v>2</v>
      </c>
      <c r="K1492" s="1860"/>
      <c r="L1492" s="1854">
        <v>13135050217</v>
      </c>
      <c r="M1492" s="1855">
        <v>1</v>
      </c>
      <c r="N1492" s="1855">
        <v>1</v>
      </c>
      <c r="O1492" s="1856">
        <v>2</v>
      </c>
    </row>
    <row r="1493" spans="3:15" ht="13.5">
      <c r="C1493" s="1861" t="s">
        <v>5283</v>
      </c>
      <c r="D1493" s="1858">
        <v>1</v>
      </c>
      <c r="E1493" s="1858">
        <v>1</v>
      </c>
      <c r="F1493" s="1859">
        <v>2</v>
      </c>
      <c r="G1493" s="1872" t="s">
        <v>5283</v>
      </c>
      <c r="H1493" s="1856">
        <v>1</v>
      </c>
      <c r="I1493" s="1856">
        <v>0</v>
      </c>
      <c r="J1493" s="1873">
        <v>1</v>
      </c>
      <c r="K1493" s="1860"/>
      <c r="L1493" s="1854">
        <v>13135050218</v>
      </c>
      <c r="M1493" s="1855">
        <v>1</v>
      </c>
      <c r="N1493" s="1855">
        <v>1</v>
      </c>
      <c r="O1493" s="1856">
        <v>2</v>
      </c>
    </row>
    <row r="1494" spans="3:15" ht="13.5">
      <c r="C1494" s="1861" t="s">
        <v>5284</v>
      </c>
      <c r="D1494" s="1858">
        <v>1</v>
      </c>
      <c r="E1494" s="1858">
        <v>1</v>
      </c>
      <c r="F1494" s="1859">
        <v>2</v>
      </c>
      <c r="G1494" s="1872" t="s">
        <v>5284</v>
      </c>
      <c r="H1494" s="1856">
        <v>1</v>
      </c>
      <c r="I1494" s="1856">
        <v>1</v>
      </c>
      <c r="J1494" s="1873">
        <v>2</v>
      </c>
      <c r="K1494" s="1860"/>
      <c r="L1494" s="1854">
        <v>13135050219</v>
      </c>
      <c r="M1494" s="1855">
        <v>1</v>
      </c>
      <c r="N1494" s="1855">
        <v>1</v>
      </c>
      <c r="O1494" s="1856">
        <v>2</v>
      </c>
    </row>
    <row r="1495" spans="3:15" ht="13.5">
      <c r="C1495" s="1861" t="s">
        <v>5285</v>
      </c>
      <c r="D1495" s="1858">
        <v>0</v>
      </c>
      <c r="E1495" s="1858">
        <v>0</v>
      </c>
      <c r="F1495" s="1859">
        <v>0</v>
      </c>
      <c r="G1495" s="1872" t="s">
        <v>5285</v>
      </c>
      <c r="H1495" s="1856">
        <v>1</v>
      </c>
      <c r="I1495" s="1856">
        <v>0</v>
      </c>
      <c r="J1495" s="1873">
        <v>1</v>
      </c>
      <c r="K1495" s="1860"/>
      <c r="L1495" s="1854">
        <v>13135050220</v>
      </c>
      <c r="M1495" s="1855">
        <v>1</v>
      </c>
      <c r="N1495" s="1855">
        <v>0</v>
      </c>
      <c r="O1495" s="1856">
        <v>1</v>
      </c>
    </row>
    <row r="1496" spans="3:15" ht="13.5">
      <c r="C1496" s="1861" t="s">
        <v>5286</v>
      </c>
      <c r="D1496" s="1858">
        <v>1</v>
      </c>
      <c r="E1496" s="1858">
        <v>0</v>
      </c>
      <c r="F1496" s="1859">
        <v>1</v>
      </c>
      <c r="G1496" s="1872" t="s">
        <v>5286</v>
      </c>
      <c r="H1496" s="1856">
        <v>1</v>
      </c>
      <c r="I1496" s="1856">
        <v>0</v>
      </c>
      <c r="J1496" s="1873">
        <v>1</v>
      </c>
      <c r="K1496" s="1860"/>
      <c r="L1496" s="1854">
        <v>13135050304</v>
      </c>
      <c r="M1496" s="1855">
        <v>1</v>
      </c>
      <c r="N1496" s="1855">
        <v>0</v>
      </c>
      <c r="O1496" s="1856">
        <v>1</v>
      </c>
    </row>
    <row r="1497" spans="3:15" ht="13.5">
      <c r="C1497" s="1861" t="s">
        <v>5287</v>
      </c>
      <c r="D1497" s="1858">
        <v>0</v>
      </c>
      <c r="E1497" s="1858">
        <v>0</v>
      </c>
      <c r="F1497" s="1859">
        <v>0</v>
      </c>
      <c r="G1497" s="1872" t="s">
        <v>5287</v>
      </c>
      <c r="H1497" s="1856">
        <v>1</v>
      </c>
      <c r="I1497" s="1856">
        <v>0</v>
      </c>
      <c r="J1497" s="1873">
        <v>1</v>
      </c>
      <c r="K1497" s="1860"/>
      <c r="L1497" s="1854">
        <v>13135050306</v>
      </c>
      <c r="M1497" s="1855">
        <v>1</v>
      </c>
      <c r="N1497" s="1855">
        <v>0</v>
      </c>
      <c r="O1497" s="1856">
        <v>1</v>
      </c>
    </row>
    <row r="1498" spans="3:15" ht="13.5">
      <c r="C1498" s="1861" t="s">
        <v>5288</v>
      </c>
      <c r="D1498" s="1858">
        <v>1</v>
      </c>
      <c r="E1498" s="1858">
        <v>1</v>
      </c>
      <c r="F1498" s="1859">
        <v>2</v>
      </c>
      <c r="G1498" s="1872" t="s">
        <v>5288</v>
      </c>
      <c r="H1498" s="1856">
        <v>1</v>
      </c>
      <c r="I1498" s="1856">
        <v>1</v>
      </c>
      <c r="J1498" s="1873">
        <v>2</v>
      </c>
      <c r="K1498" s="1860"/>
      <c r="L1498" s="1854">
        <v>13135050308</v>
      </c>
      <c r="M1498" s="1855">
        <v>1</v>
      </c>
      <c r="N1498" s="1855">
        <v>1</v>
      </c>
      <c r="O1498" s="1856">
        <v>2</v>
      </c>
    </row>
    <row r="1499" spans="3:15" ht="13.5">
      <c r="C1499" s="1861" t="s">
        <v>5289</v>
      </c>
      <c r="D1499" s="1858">
        <v>1</v>
      </c>
      <c r="E1499" s="1858">
        <v>1</v>
      </c>
      <c r="F1499" s="1859">
        <v>2</v>
      </c>
      <c r="G1499" s="1872" t="s">
        <v>5289</v>
      </c>
      <c r="H1499" s="1856">
        <v>1</v>
      </c>
      <c r="I1499" s="1856">
        <v>1</v>
      </c>
      <c r="J1499" s="1873">
        <v>2</v>
      </c>
      <c r="K1499" s="1860"/>
      <c r="L1499" s="1854">
        <v>13135050309</v>
      </c>
      <c r="M1499" s="1855">
        <v>1</v>
      </c>
      <c r="N1499" s="1855">
        <v>1</v>
      </c>
      <c r="O1499" s="1856">
        <v>2</v>
      </c>
    </row>
    <row r="1500" spans="3:15" ht="13.5">
      <c r="C1500" s="1861" t="s">
        <v>5290</v>
      </c>
      <c r="D1500" s="1858">
        <v>1</v>
      </c>
      <c r="E1500" s="1858">
        <v>1</v>
      </c>
      <c r="F1500" s="1859">
        <v>2</v>
      </c>
      <c r="G1500" s="1872" t="s">
        <v>5290</v>
      </c>
      <c r="H1500" s="1856">
        <v>1</v>
      </c>
      <c r="I1500" s="1856">
        <v>1</v>
      </c>
      <c r="J1500" s="1873">
        <v>2</v>
      </c>
      <c r="K1500" s="1860"/>
      <c r="L1500" s="1854">
        <v>13135050310</v>
      </c>
      <c r="M1500" s="1855">
        <v>1</v>
      </c>
      <c r="N1500" s="1855">
        <v>1</v>
      </c>
      <c r="O1500" s="1856">
        <v>2</v>
      </c>
    </row>
    <row r="1501" spans="3:15" ht="13.5">
      <c r="C1501" s="1861" t="s">
        <v>5291</v>
      </c>
      <c r="D1501" s="1858">
        <v>1</v>
      </c>
      <c r="E1501" s="1858">
        <v>1</v>
      </c>
      <c r="F1501" s="1859">
        <v>2</v>
      </c>
      <c r="G1501" s="1872" t="s">
        <v>5291</v>
      </c>
      <c r="H1501" s="1856">
        <v>1</v>
      </c>
      <c r="I1501" s="1856">
        <v>0</v>
      </c>
      <c r="J1501" s="1873">
        <v>1</v>
      </c>
      <c r="K1501" s="1860"/>
      <c r="L1501" s="1854">
        <v>13135050311</v>
      </c>
      <c r="M1501" s="1855">
        <v>1</v>
      </c>
      <c r="N1501" s="1855">
        <v>1</v>
      </c>
      <c r="O1501" s="1856">
        <v>2</v>
      </c>
    </row>
    <row r="1502" spans="3:15" ht="13.5">
      <c r="C1502" s="1861" t="s">
        <v>5292</v>
      </c>
      <c r="D1502" s="1858">
        <v>0</v>
      </c>
      <c r="E1502" s="1858">
        <v>0</v>
      </c>
      <c r="F1502" s="1859">
        <v>0</v>
      </c>
      <c r="G1502" s="1872" t="s">
        <v>5292</v>
      </c>
      <c r="H1502" s="1856">
        <v>0</v>
      </c>
      <c r="I1502" s="1856">
        <v>0</v>
      </c>
      <c r="J1502" s="1873">
        <v>0</v>
      </c>
      <c r="K1502" s="1860"/>
      <c r="L1502" s="1854">
        <v>13135050313</v>
      </c>
      <c r="M1502" s="1855">
        <v>0</v>
      </c>
      <c r="N1502" s="1855">
        <v>0</v>
      </c>
      <c r="O1502" s="1856">
        <v>0</v>
      </c>
    </row>
    <row r="1503" spans="3:15" ht="13.5">
      <c r="C1503" s="1861" t="s">
        <v>5293</v>
      </c>
      <c r="D1503" s="1858">
        <v>1</v>
      </c>
      <c r="E1503" s="1858">
        <v>0</v>
      </c>
      <c r="F1503" s="1859">
        <v>1</v>
      </c>
      <c r="G1503" s="1872" t="s">
        <v>5293</v>
      </c>
      <c r="H1503" s="1856">
        <v>1</v>
      </c>
      <c r="I1503" s="1856">
        <v>0</v>
      </c>
      <c r="J1503" s="1873">
        <v>1</v>
      </c>
      <c r="K1503" s="1860"/>
      <c r="L1503" s="1854">
        <v>13135050314</v>
      </c>
      <c r="M1503" s="1855">
        <v>1</v>
      </c>
      <c r="N1503" s="1855">
        <v>0</v>
      </c>
      <c r="O1503" s="1856">
        <v>1</v>
      </c>
    </row>
    <row r="1504" spans="3:15" ht="13.5">
      <c r="C1504" s="1861" t="s">
        <v>5294</v>
      </c>
      <c r="D1504" s="1858">
        <v>1</v>
      </c>
      <c r="E1504" s="1858">
        <v>0</v>
      </c>
      <c r="F1504" s="1859">
        <v>1</v>
      </c>
      <c r="G1504" s="1872" t="s">
        <v>5294</v>
      </c>
      <c r="H1504" s="1856">
        <v>1</v>
      </c>
      <c r="I1504" s="1856">
        <v>0</v>
      </c>
      <c r="J1504" s="1873">
        <v>1</v>
      </c>
      <c r="K1504" s="1860"/>
      <c r="L1504" s="1854">
        <v>13135050315</v>
      </c>
      <c r="M1504" s="1855">
        <v>1</v>
      </c>
      <c r="N1504" s="1855">
        <v>0</v>
      </c>
      <c r="O1504" s="1856">
        <v>1</v>
      </c>
    </row>
    <row r="1505" spans="3:15" ht="13.5">
      <c r="C1505" s="1861" t="s">
        <v>5295</v>
      </c>
      <c r="D1505" s="1858">
        <v>0</v>
      </c>
      <c r="E1505" s="1858">
        <v>0</v>
      </c>
      <c r="F1505" s="1859">
        <v>0</v>
      </c>
      <c r="G1505" s="1872" t="s">
        <v>5295</v>
      </c>
      <c r="H1505" s="1856">
        <v>1</v>
      </c>
      <c r="I1505" s="1856" t="s">
        <v>3909</v>
      </c>
      <c r="J1505" s="1873">
        <v>1</v>
      </c>
      <c r="K1505" s="1860"/>
      <c r="L1505" s="1854">
        <v>13135050317</v>
      </c>
      <c r="M1505" s="1855">
        <v>1</v>
      </c>
      <c r="N1505" s="1855">
        <v>0</v>
      </c>
      <c r="O1505" s="1856">
        <v>1</v>
      </c>
    </row>
    <row r="1506" spans="3:15" ht="13.5">
      <c r="C1506" s="1861" t="s">
        <v>5296</v>
      </c>
      <c r="D1506" s="1858">
        <v>1</v>
      </c>
      <c r="E1506" s="1858">
        <v>0</v>
      </c>
      <c r="F1506" s="1859">
        <v>1</v>
      </c>
      <c r="G1506" s="1872" t="s">
        <v>5296</v>
      </c>
      <c r="H1506" s="1856">
        <v>1</v>
      </c>
      <c r="I1506" s="1856" t="s">
        <v>3909</v>
      </c>
      <c r="J1506" s="1873">
        <v>1</v>
      </c>
      <c r="K1506" s="1860"/>
      <c r="L1506" s="1854">
        <v>13135050318</v>
      </c>
      <c r="M1506" s="1855">
        <v>1</v>
      </c>
      <c r="N1506" s="1855">
        <v>0</v>
      </c>
      <c r="O1506" s="1856">
        <v>1</v>
      </c>
    </row>
    <row r="1507" spans="3:15" ht="13.5">
      <c r="C1507" s="1861" t="s">
        <v>5297</v>
      </c>
      <c r="D1507" s="1858">
        <v>0</v>
      </c>
      <c r="E1507" s="1858">
        <v>0</v>
      </c>
      <c r="F1507" s="1859">
        <v>0</v>
      </c>
      <c r="G1507" s="1872" t="s">
        <v>5297</v>
      </c>
      <c r="H1507" s="1856">
        <v>0</v>
      </c>
      <c r="I1507" s="1856" t="s">
        <v>3909</v>
      </c>
      <c r="J1507" s="1873">
        <v>0</v>
      </c>
      <c r="K1507" s="1860"/>
      <c r="L1507" s="1854">
        <v>13135050319</v>
      </c>
      <c r="M1507" s="1855">
        <v>0</v>
      </c>
      <c r="N1507" s="1855">
        <v>0</v>
      </c>
      <c r="O1507" s="1856">
        <v>0</v>
      </c>
    </row>
    <row r="1508" spans="3:15" ht="13.5">
      <c r="C1508" s="1861" t="s">
        <v>5298</v>
      </c>
      <c r="D1508" s="1858">
        <v>0</v>
      </c>
      <c r="E1508" s="1858">
        <v>0</v>
      </c>
      <c r="F1508" s="1859">
        <v>0</v>
      </c>
      <c r="G1508" s="1872" t="s">
        <v>5298</v>
      </c>
      <c r="H1508" s="1856">
        <v>0</v>
      </c>
      <c r="I1508" s="1856" t="s">
        <v>3909</v>
      </c>
      <c r="J1508" s="1873">
        <v>0</v>
      </c>
      <c r="K1508" s="1860"/>
      <c r="L1508" s="1854">
        <v>13135050320</v>
      </c>
      <c r="M1508" s="1855">
        <v>0</v>
      </c>
      <c r="N1508" s="1855">
        <v>0</v>
      </c>
      <c r="O1508" s="1856">
        <v>0</v>
      </c>
    </row>
    <row r="1509" spans="3:15" ht="13.5">
      <c r="C1509" s="1861" t="s">
        <v>5299</v>
      </c>
      <c r="D1509" s="1858">
        <v>1</v>
      </c>
      <c r="E1509" s="1858">
        <v>1</v>
      </c>
      <c r="F1509" s="1859">
        <v>2</v>
      </c>
      <c r="G1509" s="1872" t="s">
        <v>5299</v>
      </c>
      <c r="H1509" s="1856">
        <v>1</v>
      </c>
      <c r="I1509" s="1856">
        <v>1</v>
      </c>
      <c r="J1509" s="1873">
        <v>2</v>
      </c>
      <c r="K1509" s="1860"/>
      <c r="L1509" s="1854">
        <v>13135050321</v>
      </c>
      <c r="M1509" s="1855">
        <v>1</v>
      </c>
      <c r="N1509" s="1855">
        <v>1</v>
      </c>
      <c r="O1509" s="1856">
        <v>2</v>
      </c>
    </row>
    <row r="1510" spans="3:15" ht="13.5">
      <c r="C1510" s="1861" t="s">
        <v>5300</v>
      </c>
      <c r="D1510" s="1858">
        <v>1</v>
      </c>
      <c r="E1510" s="1858">
        <v>1</v>
      </c>
      <c r="F1510" s="1859">
        <v>2</v>
      </c>
      <c r="G1510" s="1872" t="s">
        <v>5300</v>
      </c>
      <c r="H1510" s="1856">
        <v>1</v>
      </c>
      <c r="I1510" s="1856">
        <v>1</v>
      </c>
      <c r="J1510" s="1873">
        <v>2</v>
      </c>
      <c r="K1510" s="1860"/>
      <c r="L1510" s="1854">
        <v>13135050322</v>
      </c>
      <c r="M1510" s="1855">
        <v>1</v>
      </c>
      <c r="N1510" s="1855">
        <v>1</v>
      </c>
      <c r="O1510" s="1856">
        <v>2</v>
      </c>
    </row>
    <row r="1511" spans="3:15" ht="13.5">
      <c r="C1511" s="1861" t="s">
        <v>5301</v>
      </c>
      <c r="D1511" s="1858">
        <v>0</v>
      </c>
      <c r="E1511" s="1858">
        <v>0</v>
      </c>
      <c r="F1511" s="1859">
        <v>0</v>
      </c>
      <c r="G1511" s="1872" t="s">
        <v>5301</v>
      </c>
      <c r="H1511" s="1856">
        <v>1</v>
      </c>
      <c r="I1511" s="1856">
        <v>0</v>
      </c>
      <c r="J1511" s="1873">
        <v>1</v>
      </c>
      <c r="K1511" s="1860"/>
      <c r="L1511" s="1854">
        <v>13135050410</v>
      </c>
      <c r="M1511" s="1855">
        <v>1</v>
      </c>
      <c r="N1511" s="1855">
        <v>0</v>
      </c>
      <c r="O1511" s="1856">
        <v>1</v>
      </c>
    </row>
    <row r="1512" spans="3:15" ht="13.5">
      <c r="C1512" s="1861" t="s">
        <v>5302</v>
      </c>
      <c r="D1512" s="1858">
        <v>1</v>
      </c>
      <c r="E1512" s="1858">
        <v>1</v>
      </c>
      <c r="F1512" s="1859">
        <v>2</v>
      </c>
      <c r="G1512" s="1872" t="s">
        <v>5302</v>
      </c>
      <c r="H1512" s="1856">
        <v>1</v>
      </c>
      <c r="I1512" s="1856">
        <v>1</v>
      </c>
      <c r="J1512" s="1873">
        <v>2</v>
      </c>
      <c r="K1512" s="1860"/>
      <c r="L1512" s="1854">
        <v>13135050415</v>
      </c>
      <c r="M1512" s="1855">
        <v>1</v>
      </c>
      <c r="N1512" s="1855">
        <v>1</v>
      </c>
      <c r="O1512" s="1856">
        <v>2</v>
      </c>
    </row>
    <row r="1513" spans="3:15" ht="13.5">
      <c r="C1513" s="1861" t="s">
        <v>5303</v>
      </c>
      <c r="D1513" s="1858">
        <v>0</v>
      </c>
      <c r="E1513" s="1858">
        <v>0</v>
      </c>
      <c r="F1513" s="1859">
        <v>0</v>
      </c>
      <c r="G1513" s="1872" t="s">
        <v>5303</v>
      </c>
      <c r="H1513" s="1856">
        <v>0</v>
      </c>
      <c r="I1513" s="1856">
        <v>0</v>
      </c>
      <c r="J1513" s="1873">
        <v>0</v>
      </c>
      <c r="K1513" s="1860"/>
      <c r="L1513" s="1854">
        <v>13135050416</v>
      </c>
      <c r="M1513" s="1855">
        <v>0</v>
      </c>
      <c r="N1513" s="1855">
        <v>0</v>
      </c>
      <c r="O1513" s="1856">
        <v>0</v>
      </c>
    </row>
    <row r="1514" spans="3:15" ht="13.5">
      <c r="C1514" s="1861" t="s">
        <v>5304</v>
      </c>
      <c r="D1514" s="1858">
        <v>0</v>
      </c>
      <c r="E1514" s="1858">
        <v>0</v>
      </c>
      <c r="F1514" s="1859">
        <v>0</v>
      </c>
      <c r="G1514" s="1872" t="s">
        <v>5304</v>
      </c>
      <c r="H1514" s="1856">
        <v>0</v>
      </c>
      <c r="I1514" s="1856" t="s">
        <v>3909</v>
      </c>
      <c r="J1514" s="1873">
        <v>0</v>
      </c>
      <c r="K1514" s="1860"/>
      <c r="L1514" s="1854">
        <v>13135050417</v>
      </c>
      <c r="M1514" s="1855">
        <v>0</v>
      </c>
      <c r="N1514" s="1855">
        <v>0</v>
      </c>
      <c r="O1514" s="1856">
        <v>0</v>
      </c>
    </row>
    <row r="1515" spans="3:15" ht="13.5">
      <c r="C1515" s="1861" t="s">
        <v>5305</v>
      </c>
      <c r="D1515" s="1858">
        <v>0</v>
      </c>
      <c r="E1515" s="1858">
        <v>0</v>
      </c>
      <c r="F1515" s="1859">
        <v>0</v>
      </c>
      <c r="G1515" s="1872" t="s">
        <v>5305</v>
      </c>
      <c r="H1515" s="1856">
        <v>0</v>
      </c>
      <c r="I1515" s="1856">
        <v>0</v>
      </c>
      <c r="J1515" s="1873">
        <v>0</v>
      </c>
      <c r="K1515" s="1860"/>
      <c r="L1515" s="1854">
        <v>13135050418</v>
      </c>
      <c r="M1515" s="1855">
        <v>0</v>
      </c>
      <c r="N1515" s="1855">
        <v>0</v>
      </c>
      <c r="O1515" s="1856">
        <v>0</v>
      </c>
    </row>
    <row r="1516" spans="3:15" ht="13.5">
      <c r="C1516" s="1861" t="s">
        <v>5306</v>
      </c>
      <c r="D1516" s="1858">
        <v>0</v>
      </c>
      <c r="E1516" s="1858">
        <v>0</v>
      </c>
      <c r="F1516" s="1859">
        <v>0</v>
      </c>
      <c r="G1516" s="1872" t="s">
        <v>5306</v>
      </c>
      <c r="H1516" s="1856">
        <v>0</v>
      </c>
      <c r="I1516" s="1856" t="s">
        <v>3909</v>
      </c>
      <c r="J1516" s="1873">
        <v>0</v>
      </c>
      <c r="K1516" s="1860"/>
      <c r="L1516" s="1854">
        <v>13135050419</v>
      </c>
      <c r="M1516" s="1855">
        <v>0</v>
      </c>
      <c r="N1516" s="1855">
        <v>0</v>
      </c>
      <c r="O1516" s="1856">
        <v>0</v>
      </c>
    </row>
    <row r="1517" spans="3:15" ht="13.5">
      <c r="C1517" s="1861" t="s">
        <v>5307</v>
      </c>
      <c r="D1517" s="1858">
        <v>0</v>
      </c>
      <c r="E1517" s="1858">
        <v>0</v>
      </c>
      <c r="F1517" s="1859">
        <v>0</v>
      </c>
      <c r="G1517" s="1872" t="s">
        <v>5307</v>
      </c>
      <c r="H1517" s="1856">
        <v>0</v>
      </c>
      <c r="I1517" s="1856">
        <v>0</v>
      </c>
      <c r="J1517" s="1873">
        <v>0</v>
      </c>
      <c r="K1517" s="1860"/>
      <c r="L1517" s="1854">
        <v>13135050421</v>
      </c>
      <c r="M1517" s="1855">
        <v>0</v>
      </c>
      <c r="N1517" s="1855">
        <v>0</v>
      </c>
      <c r="O1517" s="1856">
        <v>0</v>
      </c>
    </row>
    <row r="1518" spans="3:15" ht="13.5">
      <c r="C1518" s="1861" t="s">
        <v>5308</v>
      </c>
      <c r="D1518" s="1858">
        <v>0</v>
      </c>
      <c r="E1518" s="1858">
        <v>0</v>
      </c>
      <c r="F1518" s="1859">
        <v>0</v>
      </c>
      <c r="G1518" s="1872" t="s">
        <v>5308</v>
      </c>
      <c r="H1518" s="1856">
        <v>0</v>
      </c>
      <c r="I1518" s="1856">
        <v>0</v>
      </c>
      <c r="J1518" s="1873">
        <v>0</v>
      </c>
      <c r="K1518" s="1860"/>
      <c r="L1518" s="1854">
        <v>13135050422</v>
      </c>
      <c r="M1518" s="1855">
        <v>0</v>
      </c>
      <c r="N1518" s="1855">
        <v>0</v>
      </c>
      <c r="O1518" s="1856">
        <v>0</v>
      </c>
    </row>
    <row r="1519" spans="3:15" ht="13.5">
      <c r="C1519" s="1861" t="s">
        <v>5309</v>
      </c>
      <c r="D1519" s="1858">
        <v>0</v>
      </c>
      <c r="E1519" s="1858">
        <v>0</v>
      </c>
      <c r="F1519" s="1859">
        <v>0</v>
      </c>
      <c r="G1519" s="1872" t="s">
        <v>5309</v>
      </c>
      <c r="H1519" s="1856">
        <v>0</v>
      </c>
      <c r="I1519" s="1856" t="s">
        <v>3909</v>
      </c>
      <c r="J1519" s="1873">
        <v>0</v>
      </c>
      <c r="K1519" s="1860"/>
      <c r="L1519" s="1854">
        <v>13135050423</v>
      </c>
      <c r="M1519" s="1855">
        <v>0</v>
      </c>
      <c r="N1519" s="1855">
        <v>0</v>
      </c>
      <c r="O1519" s="1856">
        <v>0</v>
      </c>
    </row>
    <row r="1520" spans="3:15" ht="13.5">
      <c r="C1520" s="1861" t="s">
        <v>5310</v>
      </c>
      <c r="D1520" s="1858">
        <v>0</v>
      </c>
      <c r="E1520" s="1858">
        <v>0</v>
      </c>
      <c r="F1520" s="1859">
        <v>0</v>
      </c>
      <c r="G1520" s="1872" t="s">
        <v>5310</v>
      </c>
      <c r="H1520" s="1856">
        <v>0</v>
      </c>
      <c r="I1520" s="1856" t="s">
        <v>3909</v>
      </c>
      <c r="J1520" s="1873">
        <v>0</v>
      </c>
      <c r="K1520" s="1860"/>
      <c r="L1520" s="1854">
        <v>13135050424</v>
      </c>
      <c r="M1520" s="1855">
        <v>0</v>
      </c>
      <c r="N1520" s="1855">
        <v>0</v>
      </c>
      <c r="O1520" s="1856">
        <v>0</v>
      </c>
    </row>
    <row r="1521" spans="3:15" ht="13.5">
      <c r="C1521" s="1861" t="s">
        <v>5311</v>
      </c>
      <c r="D1521" s="1858">
        <v>1</v>
      </c>
      <c r="E1521" s="1858">
        <v>1</v>
      </c>
      <c r="F1521" s="1859">
        <v>2</v>
      </c>
      <c r="G1521" s="1872" t="s">
        <v>5311</v>
      </c>
      <c r="H1521" s="1856">
        <v>1</v>
      </c>
      <c r="I1521" s="1856">
        <v>1</v>
      </c>
      <c r="J1521" s="1873">
        <v>2</v>
      </c>
      <c r="K1521" s="1860"/>
      <c r="L1521" s="1854">
        <v>13135050425</v>
      </c>
      <c r="M1521" s="1855">
        <v>1</v>
      </c>
      <c r="N1521" s="1855">
        <v>1</v>
      </c>
      <c r="O1521" s="1856">
        <v>2</v>
      </c>
    </row>
    <row r="1522" spans="3:15" ht="13.5">
      <c r="C1522" s="1861" t="s">
        <v>5312</v>
      </c>
      <c r="D1522" s="1858">
        <v>1</v>
      </c>
      <c r="E1522" s="1858">
        <v>1</v>
      </c>
      <c r="F1522" s="1859">
        <v>2</v>
      </c>
      <c r="G1522" s="1872" t="s">
        <v>5312</v>
      </c>
      <c r="H1522" s="1856">
        <v>1</v>
      </c>
      <c r="I1522" s="1856">
        <v>1</v>
      </c>
      <c r="J1522" s="1873">
        <v>2</v>
      </c>
      <c r="K1522" s="1860"/>
      <c r="L1522" s="1854">
        <v>13135050426</v>
      </c>
      <c r="M1522" s="1855">
        <v>1</v>
      </c>
      <c r="N1522" s="1855">
        <v>1</v>
      </c>
      <c r="O1522" s="1856">
        <v>2</v>
      </c>
    </row>
    <row r="1523" spans="3:15" ht="13.5">
      <c r="C1523" s="1861" t="s">
        <v>5313</v>
      </c>
      <c r="D1523" s="1858">
        <v>1</v>
      </c>
      <c r="E1523" s="1858">
        <v>1</v>
      </c>
      <c r="F1523" s="1859">
        <v>2</v>
      </c>
      <c r="G1523" s="1872" t="s">
        <v>5313</v>
      </c>
      <c r="H1523" s="1856">
        <v>1</v>
      </c>
      <c r="I1523" s="1856">
        <v>1</v>
      </c>
      <c r="J1523" s="1873">
        <v>2</v>
      </c>
      <c r="K1523" s="1860"/>
      <c r="L1523" s="1854">
        <v>13135050427</v>
      </c>
      <c r="M1523" s="1855">
        <v>1</v>
      </c>
      <c r="N1523" s="1855">
        <v>1</v>
      </c>
      <c r="O1523" s="1856">
        <v>2</v>
      </c>
    </row>
    <row r="1524" spans="3:15" ht="13.5">
      <c r="C1524" s="1861" t="s">
        <v>5314</v>
      </c>
      <c r="D1524" s="1858">
        <v>1</v>
      </c>
      <c r="E1524" s="1858">
        <v>1</v>
      </c>
      <c r="F1524" s="1859">
        <v>2</v>
      </c>
      <c r="G1524" s="1872" t="s">
        <v>5314</v>
      </c>
      <c r="H1524" s="1856">
        <v>1</v>
      </c>
      <c r="I1524" s="1856">
        <v>1</v>
      </c>
      <c r="J1524" s="1873">
        <v>2</v>
      </c>
      <c r="K1524" s="1860"/>
      <c r="L1524" s="1854">
        <v>13135050428</v>
      </c>
      <c r="M1524" s="1855">
        <v>1</v>
      </c>
      <c r="N1524" s="1855">
        <v>1</v>
      </c>
      <c r="O1524" s="1856">
        <v>2</v>
      </c>
    </row>
    <row r="1525" spans="3:15" ht="13.5">
      <c r="C1525" s="1861" t="s">
        <v>5315</v>
      </c>
      <c r="D1525" s="1858">
        <v>1</v>
      </c>
      <c r="E1525" s="1858">
        <v>1</v>
      </c>
      <c r="F1525" s="1859">
        <v>2</v>
      </c>
      <c r="G1525" s="1872" t="s">
        <v>5315</v>
      </c>
      <c r="H1525" s="1856">
        <v>1</v>
      </c>
      <c r="I1525" s="1856">
        <v>1</v>
      </c>
      <c r="J1525" s="1873">
        <v>2</v>
      </c>
      <c r="K1525" s="1860"/>
      <c r="L1525" s="1854">
        <v>13135050429</v>
      </c>
      <c r="M1525" s="1855">
        <v>1</v>
      </c>
      <c r="N1525" s="1855">
        <v>1</v>
      </c>
      <c r="O1525" s="1856">
        <v>2</v>
      </c>
    </row>
    <row r="1526" spans="3:15" ht="13.5">
      <c r="C1526" s="1861" t="s">
        <v>5316</v>
      </c>
      <c r="D1526" s="1858">
        <v>1</v>
      </c>
      <c r="E1526" s="1858">
        <v>1</v>
      </c>
      <c r="F1526" s="1859">
        <v>2</v>
      </c>
      <c r="G1526" s="1872" t="s">
        <v>5316</v>
      </c>
      <c r="H1526" s="1856">
        <v>1</v>
      </c>
      <c r="I1526" s="1856">
        <v>0</v>
      </c>
      <c r="J1526" s="1873">
        <v>1</v>
      </c>
      <c r="K1526" s="1860"/>
      <c r="L1526" s="1854">
        <v>13135050430</v>
      </c>
      <c r="M1526" s="1855">
        <v>1</v>
      </c>
      <c r="N1526" s="1855">
        <v>1</v>
      </c>
      <c r="O1526" s="1856">
        <v>2</v>
      </c>
    </row>
    <row r="1527" spans="3:15" ht="13.5">
      <c r="C1527" s="1861" t="s">
        <v>5317</v>
      </c>
      <c r="D1527" s="1858">
        <v>0</v>
      </c>
      <c r="E1527" s="1858">
        <v>0</v>
      </c>
      <c r="F1527" s="1859">
        <v>0</v>
      </c>
      <c r="G1527" s="1872" t="s">
        <v>5317</v>
      </c>
      <c r="H1527" s="1856">
        <v>0</v>
      </c>
      <c r="I1527" s="1856">
        <v>0</v>
      </c>
      <c r="J1527" s="1873">
        <v>0</v>
      </c>
      <c r="K1527" s="1860"/>
      <c r="L1527" s="1854">
        <v>13135050431</v>
      </c>
      <c r="M1527" s="1855">
        <v>0</v>
      </c>
      <c r="N1527" s="1855">
        <v>0</v>
      </c>
      <c r="O1527" s="1856">
        <v>0</v>
      </c>
    </row>
    <row r="1528" spans="3:15" ht="13.5">
      <c r="C1528" s="1861" t="s">
        <v>5318</v>
      </c>
      <c r="D1528" s="1858">
        <v>1</v>
      </c>
      <c r="E1528" s="1858">
        <v>1</v>
      </c>
      <c r="F1528" s="1859">
        <v>2</v>
      </c>
      <c r="G1528" s="1872" t="s">
        <v>5318</v>
      </c>
      <c r="H1528" s="1856">
        <v>1</v>
      </c>
      <c r="I1528" s="1856" t="s">
        <v>3909</v>
      </c>
      <c r="J1528" s="1873">
        <v>1</v>
      </c>
      <c r="K1528" s="1860"/>
      <c r="L1528" s="1854">
        <v>13135050432</v>
      </c>
      <c r="M1528" s="1855">
        <v>1</v>
      </c>
      <c r="N1528" s="1855">
        <v>1</v>
      </c>
      <c r="O1528" s="1856">
        <v>2</v>
      </c>
    </row>
    <row r="1529" spans="3:15" ht="13.5">
      <c r="C1529" s="1861" t="s">
        <v>5319</v>
      </c>
      <c r="D1529" s="1858">
        <v>0</v>
      </c>
      <c r="E1529" s="1858">
        <v>0</v>
      </c>
      <c r="F1529" s="1859">
        <v>0</v>
      </c>
      <c r="G1529" s="1872" t="s">
        <v>5319</v>
      </c>
      <c r="H1529" s="1856">
        <v>1</v>
      </c>
      <c r="I1529" s="1856">
        <v>0</v>
      </c>
      <c r="J1529" s="1873">
        <v>1</v>
      </c>
      <c r="K1529" s="1860"/>
      <c r="L1529" s="1854">
        <v>13135050433</v>
      </c>
      <c r="M1529" s="1855">
        <v>1</v>
      </c>
      <c r="N1529" s="1855">
        <v>0</v>
      </c>
      <c r="O1529" s="1856">
        <v>1</v>
      </c>
    </row>
    <row r="1530" spans="3:15" ht="13.5">
      <c r="C1530" s="1861" t="s">
        <v>5320</v>
      </c>
      <c r="D1530" s="1858">
        <v>0</v>
      </c>
      <c r="E1530" s="1858">
        <v>0</v>
      </c>
      <c r="F1530" s="1859">
        <v>0</v>
      </c>
      <c r="G1530" s="1872" t="s">
        <v>5320</v>
      </c>
      <c r="H1530" s="1856">
        <v>1</v>
      </c>
      <c r="I1530" s="1856">
        <v>0</v>
      </c>
      <c r="J1530" s="1873">
        <v>1</v>
      </c>
      <c r="K1530" s="1860"/>
      <c r="L1530" s="1854">
        <v>13135050434</v>
      </c>
      <c r="M1530" s="1855">
        <v>1</v>
      </c>
      <c r="N1530" s="1855">
        <v>0</v>
      </c>
      <c r="O1530" s="1856">
        <v>1</v>
      </c>
    </row>
    <row r="1531" spans="3:15" ht="13.5">
      <c r="C1531" s="1861" t="s">
        <v>5321</v>
      </c>
      <c r="D1531" s="1858">
        <v>1</v>
      </c>
      <c r="E1531" s="1858">
        <v>0</v>
      </c>
      <c r="F1531" s="1859">
        <v>1</v>
      </c>
      <c r="G1531" s="1872" t="s">
        <v>5321</v>
      </c>
      <c r="H1531" s="1856">
        <v>0</v>
      </c>
      <c r="I1531" s="1856">
        <v>0</v>
      </c>
      <c r="J1531" s="1873">
        <v>0</v>
      </c>
      <c r="K1531" s="1860"/>
      <c r="L1531" s="1854">
        <v>13135050435</v>
      </c>
      <c r="M1531" s="1855">
        <v>1</v>
      </c>
      <c r="N1531" s="1855">
        <v>0</v>
      </c>
      <c r="O1531" s="1856">
        <v>1</v>
      </c>
    </row>
    <row r="1532" spans="3:15" ht="13.5">
      <c r="C1532" s="1861" t="s">
        <v>5322</v>
      </c>
      <c r="D1532" s="1858">
        <v>0</v>
      </c>
      <c r="E1532" s="1858">
        <v>0</v>
      </c>
      <c r="F1532" s="1859">
        <v>0</v>
      </c>
      <c r="G1532" s="1872" t="s">
        <v>5322</v>
      </c>
      <c r="H1532" s="1856">
        <v>0</v>
      </c>
      <c r="I1532" s="1856">
        <v>0</v>
      </c>
      <c r="J1532" s="1873">
        <v>0</v>
      </c>
      <c r="K1532" s="1860"/>
      <c r="L1532" s="1854">
        <v>13135050436</v>
      </c>
      <c r="M1532" s="1855">
        <v>0</v>
      </c>
      <c r="N1532" s="1855">
        <v>0</v>
      </c>
      <c r="O1532" s="1856">
        <v>0</v>
      </c>
    </row>
    <row r="1533" spans="3:15" ht="13.5">
      <c r="C1533" s="1861" t="s">
        <v>5323</v>
      </c>
      <c r="D1533" s="1858">
        <v>1</v>
      </c>
      <c r="E1533" s="1858">
        <v>0</v>
      </c>
      <c r="F1533" s="1859">
        <v>1</v>
      </c>
      <c r="G1533" s="1872" t="s">
        <v>5323</v>
      </c>
      <c r="H1533" s="1856">
        <v>0</v>
      </c>
      <c r="I1533" s="1856">
        <v>0</v>
      </c>
      <c r="J1533" s="1873">
        <v>0</v>
      </c>
      <c r="K1533" s="1860"/>
      <c r="L1533" s="1854">
        <v>13135050511</v>
      </c>
      <c r="M1533" s="1855">
        <v>1</v>
      </c>
      <c r="N1533" s="1855">
        <v>0</v>
      </c>
      <c r="O1533" s="1856">
        <v>1</v>
      </c>
    </row>
    <row r="1534" spans="3:15" ht="13.5">
      <c r="C1534" s="1861" t="s">
        <v>5324</v>
      </c>
      <c r="D1534" s="1858">
        <v>0</v>
      </c>
      <c r="E1534" s="1858">
        <v>0</v>
      </c>
      <c r="F1534" s="1859">
        <v>0</v>
      </c>
      <c r="G1534" s="1872" t="s">
        <v>5324</v>
      </c>
      <c r="H1534" s="1856">
        <v>0</v>
      </c>
      <c r="I1534" s="1856">
        <v>0</v>
      </c>
      <c r="J1534" s="1873">
        <v>0</v>
      </c>
      <c r="K1534" s="1860"/>
      <c r="L1534" s="1854">
        <v>13135050520</v>
      </c>
      <c r="M1534" s="1855">
        <v>0</v>
      </c>
      <c r="N1534" s="1855">
        <v>0</v>
      </c>
      <c r="O1534" s="1856">
        <v>0</v>
      </c>
    </row>
    <row r="1535" spans="3:15" ht="13.5">
      <c r="C1535" s="1861" t="s">
        <v>5325</v>
      </c>
      <c r="D1535" s="1858">
        <v>0</v>
      </c>
      <c r="E1535" s="1858">
        <v>0</v>
      </c>
      <c r="F1535" s="1859">
        <v>0</v>
      </c>
      <c r="G1535" s="1872" t="s">
        <v>5325</v>
      </c>
      <c r="H1535" s="1856">
        <v>0</v>
      </c>
      <c r="I1535" s="1856">
        <v>0</v>
      </c>
      <c r="J1535" s="1873">
        <v>0</v>
      </c>
      <c r="K1535" s="1860"/>
      <c r="L1535" s="1854">
        <v>13135050521</v>
      </c>
      <c r="M1535" s="1855">
        <v>0</v>
      </c>
      <c r="N1535" s="1855">
        <v>0</v>
      </c>
      <c r="O1535" s="1856">
        <v>0</v>
      </c>
    </row>
    <row r="1536" spans="3:15" ht="13.5">
      <c r="C1536" s="1861" t="s">
        <v>5326</v>
      </c>
      <c r="D1536" s="1858">
        <v>0</v>
      </c>
      <c r="E1536" s="1858">
        <v>0</v>
      </c>
      <c r="F1536" s="1859">
        <v>0</v>
      </c>
      <c r="G1536" s="1872" t="s">
        <v>5326</v>
      </c>
      <c r="H1536" s="1856">
        <v>0</v>
      </c>
      <c r="I1536" s="1856">
        <v>0</v>
      </c>
      <c r="J1536" s="1873">
        <v>0</v>
      </c>
      <c r="K1536" s="1860"/>
      <c r="L1536" s="1854">
        <v>13135050522</v>
      </c>
      <c r="M1536" s="1855">
        <v>0</v>
      </c>
      <c r="N1536" s="1855">
        <v>0</v>
      </c>
      <c r="O1536" s="1856">
        <v>0</v>
      </c>
    </row>
    <row r="1537" spans="3:15" ht="13.5">
      <c r="C1537" s="1861" t="s">
        <v>5327</v>
      </c>
      <c r="D1537" s="1858">
        <v>1</v>
      </c>
      <c r="E1537" s="1858">
        <v>1</v>
      </c>
      <c r="F1537" s="1859">
        <v>2</v>
      </c>
      <c r="G1537" s="1872" t="s">
        <v>5327</v>
      </c>
      <c r="H1537" s="1856">
        <v>0</v>
      </c>
      <c r="I1537" s="1856" t="s">
        <v>3909</v>
      </c>
      <c r="J1537" s="1873">
        <v>0</v>
      </c>
      <c r="K1537" s="1860"/>
      <c r="L1537" s="1854">
        <v>13135050523</v>
      </c>
      <c r="M1537" s="1855">
        <v>1</v>
      </c>
      <c r="N1537" s="1855">
        <v>1</v>
      </c>
      <c r="O1537" s="1856">
        <v>2</v>
      </c>
    </row>
    <row r="1538" spans="3:15" ht="13.5">
      <c r="C1538" s="1861" t="s">
        <v>5328</v>
      </c>
      <c r="D1538" s="1858">
        <v>0</v>
      </c>
      <c r="E1538" s="1858">
        <v>0</v>
      </c>
      <c r="F1538" s="1859">
        <v>0</v>
      </c>
      <c r="G1538" s="1872" t="s">
        <v>5328</v>
      </c>
      <c r="H1538" s="1856">
        <v>0</v>
      </c>
      <c r="I1538" s="1856">
        <v>0</v>
      </c>
      <c r="J1538" s="1873">
        <v>0</v>
      </c>
      <c r="K1538" s="1860"/>
      <c r="L1538" s="1854">
        <v>13135050524</v>
      </c>
      <c r="M1538" s="1855">
        <v>0</v>
      </c>
      <c r="N1538" s="1855">
        <v>0</v>
      </c>
      <c r="O1538" s="1856">
        <v>0</v>
      </c>
    </row>
    <row r="1539" spans="3:15" ht="13.5">
      <c r="C1539" s="1861" t="s">
        <v>5329</v>
      </c>
      <c r="D1539" s="1858">
        <v>1</v>
      </c>
      <c r="E1539" s="1858">
        <v>1</v>
      </c>
      <c r="F1539" s="1859">
        <v>2</v>
      </c>
      <c r="G1539" s="1872" t="s">
        <v>5329</v>
      </c>
      <c r="H1539" s="1856">
        <v>1</v>
      </c>
      <c r="I1539" s="1856">
        <v>1</v>
      </c>
      <c r="J1539" s="1873">
        <v>2</v>
      </c>
      <c r="K1539" s="1860"/>
      <c r="L1539" s="1854">
        <v>13135050525</v>
      </c>
      <c r="M1539" s="1855">
        <v>1</v>
      </c>
      <c r="N1539" s="1855">
        <v>1</v>
      </c>
      <c r="O1539" s="1856">
        <v>2</v>
      </c>
    </row>
    <row r="1540" spans="3:15" ht="13.5">
      <c r="C1540" s="1861" t="s">
        <v>5330</v>
      </c>
      <c r="D1540" s="1858">
        <v>0</v>
      </c>
      <c r="E1540" s="1858">
        <v>0</v>
      </c>
      <c r="F1540" s="1859">
        <v>0</v>
      </c>
      <c r="G1540" s="1872" t="s">
        <v>5330</v>
      </c>
      <c r="H1540" s="1856">
        <v>1</v>
      </c>
      <c r="I1540" s="1856">
        <v>0</v>
      </c>
      <c r="J1540" s="1873">
        <v>1</v>
      </c>
      <c r="K1540" s="1860"/>
      <c r="L1540" s="1854">
        <v>13135050526</v>
      </c>
      <c r="M1540" s="1855">
        <v>1</v>
      </c>
      <c r="N1540" s="1855">
        <v>0</v>
      </c>
      <c r="O1540" s="1856">
        <v>1</v>
      </c>
    </row>
    <row r="1541" spans="3:15" ht="13.5">
      <c r="C1541" s="1861" t="s">
        <v>5331</v>
      </c>
      <c r="D1541" s="1858">
        <v>1</v>
      </c>
      <c r="E1541" s="1858">
        <v>1</v>
      </c>
      <c r="F1541" s="1859">
        <v>2</v>
      </c>
      <c r="G1541" s="1872" t="s">
        <v>5331</v>
      </c>
      <c r="H1541" s="1856">
        <v>1</v>
      </c>
      <c r="I1541" s="1856">
        <v>1</v>
      </c>
      <c r="J1541" s="1873">
        <v>2</v>
      </c>
      <c r="K1541" s="1860"/>
      <c r="L1541" s="1854">
        <v>13135050527</v>
      </c>
      <c r="M1541" s="1855">
        <v>1</v>
      </c>
      <c r="N1541" s="1855">
        <v>1</v>
      </c>
      <c r="O1541" s="1856">
        <v>2</v>
      </c>
    </row>
    <row r="1542" spans="3:15" ht="13.5">
      <c r="C1542" s="1861" t="s">
        <v>5332</v>
      </c>
      <c r="D1542" s="1858">
        <v>1</v>
      </c>
      <c r="E1542" s="1858">
        <v>1</v>
      </c>
      <c r="F1542" s="1859">
        <v>2</v>
      </c>
      <c r="G1542" s="1872" t="s">
        <v>5332</v>
      </c>
      <c r="H1542" s="1856">
        <v>1</v>
      </c>
      <c r="I1542" s="1856">
        <v>1</v>
      </c>
      <c r="J1542" s="1873">
        <v>2</v>
      </c>
      <c r="K1542" s="1860"/>
      <c r="L1542" s="1854">
        <v>13135050528</v>
      </c>
      <c r="M1542" s="1855">
        <v>1</v>
      </c>
      <c r="N1542" s="1855">
        <v>1</v>
      </c>
      <c r="O1542" s="1856">
        <v>2</v>
      </c>
    </row>
    <row r="1543" spans="3:15" ht="13.5">
      <c r="C1543" s="1861" t="s">
        <v>5333</v>
      </c>
      <c r="D1543" s="1858">
        <v>1</v>
      </c>
      <c r="E1543" s="1858">
        <v>0</v>
      </c>
      <c r="F1543" s="1859">
        <v>1</v>
      </c>
      <c r="G1543" s="1872" t="s">
        <v>5333</v>
      </c>
      <c r="H1543" s="1856">
        <v>1</v>
      </c>
      <c r="I1543" s="1856" t="s">
        <v>3909</v>
      </c>
      <c r="J1543" s="1873">
        <v>1</v>
      </c>
      <c r="K1543" s="1860"/>
      <c r="L1543" s="1854">
        <v>13135050529</v>
      </c>
      <c r="M1543" s="1855">
        <v>1</v>
      </c>
      <c r="N1543" s="1855">
        <v>0</v>
      </c>
      <c r="O1543" s="1856">
        <v>1</v>
      </c>
    </row>
    <row r="1544" spans="3:15" ht="13.5">
      <c r="C1544" s="1861" t="s">
        <v>5334</v>
      </c>
      <c r="D1544" s="1858">
        <v>1</v>
      </c>
      <c r="E1544" s="1858">
        <v>1</v>
      </c>
      <c r="F1544" s="1859">
        <v>2</v>
      </c>
      <c r="G1544" s="1872" t="s">
        <v>5334</v>
      </c>
      <c r="H1544" s="1856">
        <v>1</v>
      </c>
      <c r="I1544" s="1856">
        <v>1</v>
      </c>
      <c r="J1544" s="1873">
        <v>2</v>
      </c>
      <c r="K1544" s="1860"/>
      <c r="L1544" s="1854">
        <v>13135050530</v>
      </c>
      <c r="M1544" s="1855">
        <v>1</v>
      </c>
      <c r="N1544" s="1855">
        <v>1</v>
      </c>
      <c r="O1544" s="1856">
        <v>2</v>
      </c>
    </row>
    <row r="1545" spans="3:15" ht="13.5">
      <c r="C1545" s="1861" t="s">
        <v>5335</v>
      </c>
      <c r="D1545" s="1858">
        <v>1</v>
      </c>
      <c r="E1545" s="1858">
        <v>0</v>
      </c>
      <c r="F1545" s="1859">
        <v>1</v>
      </c>
      <c r="G1545" s="1872" t="s">
        <v>5335</v>
      </c>
      <c r="H1545" s="1856">
        <v>0</v>
      </c>
      <c r="I1545" s="1856">
        <v>0</v>
      </c>
      <c r="J1545" s="1873">
        <v>0</v>
      </c>
      <c r="K1545" s="1860"/>
      <c r="L1545" s="1854">
        <v>13135050531</v>
      </c>
      <c r="M1545" s="1855">
        <v>1</v>
      </c>
      <c r="N1545" s="1855">
        <v>0</v>
      </c>
      <c r="O1545" s="1856">
        <v>1</v>
      </c>
    </row>
    <row r="1546" spans="3:15" ht="13.5">
      <c r="C1546" s="1861" t="s">
        <v>5336</v>
      </c>
      <c r="D1546" s="1858">
        <v>1</v>
      </c>
      <c r="E1546" s="1858">
        <v>0</v>
      </c>
      <c r="F1546" s="1859">
        <v>1</v>
      </c>
      <c r="G1546" s="1872" t="s">
        <v>5336</v>
      </c>
      <c r="H1546" s="1856">
        <v>1</v>
      </c>
      <c r="I1546" s="1856">
        <v>0</v>
      </c>
      <c r="J1546" s="1873">
        <v>1</v>
      </c>
      <c r="K1546" s="1860"/>
      <c r="L1546" s="1854">
        <v>13135050532</v>
      </c>
      <c r="M1546" s="1855">
        <v>1</v>
      </c>
      <c r="N1546" s="1855">
        <v>0</v>
      </c>
      <c r="O1546" s="1856">
        <v>1</v>
      </c>
    </row>
    <row r="1547" spans="3:15" ht="13.5">
      <c r="C1547" s="1861" t="s">
        <v>5337</v>
      </c>
      <c r="D1547" s="1858">
        <v>1</v>
      </c>
      <c r="E1547" s="1858">
        <v>0</v>
      </c>
      <c r="F1547" s="1859">
        <v>1</v>
      </c>
      <c r="G1547" s="1872" t="s">
        <v>5337</v>
      </c>
      <c r="H1547" s="1856">
        <v>1</v>
      </c>
      <c r="I1547" s="1856">
        <v>0</v>
      </c>
      <c r="J1547" s="1873">
        <v>1</v>
      </c>
      <c r="K1547" s="1860"/>
      <c r="L1547" s="1854">
        <v>13135050533</v>
      </c>
      <c r="M1547" s="1855">
        <v>1</v>
      </c>
      <c r="N1547" s="1855">
        <v>0</v>
      </c>
      <c r="O1547" s="1856">
        <v>1</v>
      </c>
    </row>
    <row r="1548" spans="3:15" ht="13.5">
      <c r="C1548" s="1861" t="s">
        <v>5338</v>
      </c>
      <c r="D1548" s="1858">
        <v>1</v>
      </c>
      <c r="E1548" s="1858">
        <v>1</v>
      </c>
      <c r="F1548" s="1859">
        <v>2</v>
      </c>
      <c r="G1548" s="1872" t="s">
        <v>5338</v>
      </c>
      <c r="H1548" s="1856">
        <v>1</v>
      </c>
      <c r="I1548" s="1856" t="s">
        <v>3909</v>
      </c>
      <c r="J1548" s="1873">
        <v>1</v>
      </c>
      <c r="K1548" s="1860"/>
      <c r="L1548" s="1854">
        <v>13135050534</v>
      </c>
      <c r="M1548" s="1855">
        <v>1</v>
      </c>
      <c r="N1548" s="1855">
        <v>1</v>
      </c>
      <c r="O1548" s="1856">
        <v>2</v>
      </c>
    </row>
    <row r="1549" spans="3:15" ht="13.5">
      <c r="C1549" s="1861" t="s">
        <v>5339</v>
      </c>
      <c r="D1549" s="1858">
        <v>1</v>
      </c>
      <c r="E1549" s="1858">
        <v>0</v>
      </c>
      <c r="F1549" s="1859">
        <v>1</v>
      </c>
      <c r="G1549" s="1872" t="s">
        <v>5339</v>
      </c>
      <c r="H1549" s="1856">
        <v>1</v>
      </c>
      <c r="I1549" s="1856">
        <v>0</v>
      </c>
      <c r="J1549" s="1873">
        <v>1</v>
      </c>
      <c r="K1549" s="1860"/>
      <c r="L1549" s="1854">
        <v>13135050535</v>
      </c>
      <c r="M1549" s="1855">
        <v>1</v>
      </c>
      <c r="N1549" s="1855">
        <v>0</v>
      </c>
      <c r="O1549" s="1856">
        <v>1</v>
      </c>
    </row>
    <row r="1550" spans="3:15" ht="13.5">
      <c r="C1550" s="1861" t="s">
        <v>5340</v>
      </c>
      <c r="D1550" s="1858">
        <v>1</v>
      </c>
      <c r="E1550" s="1858">
        <v>1</v>
      </c>
      <c r="F1550" s="1859">
        <v>2</v>
      </c>
      <c r="G1550" s="1872" t="s">
        <v>5340</v>
      </c>
      <c r="H1550" s="1856">
        <v>1</v>
      </c>
      <c r="I1550" s="1856">
        <v>0</v>
      </c>
      <c r="J1550" s="1873">
        <v>1</v>
      </c>
      <c r="K1550" s="1860"/>
      <c r="L1550" s="1854">
        <v>13135050536</v>
      </c>
      <c r="M1550" s="1855">
        <v>1</v>
      </c>
      <c r="N1550" s="1855">
        <v>1</v>
      </c>
      <c r="O1550" s="1856">
        <v>2</v>
      </c>
    </row>
    <row r="1551" spans="3:15" ht="13.5">
      <c r="C1551" s="1861" t="s">
        <v>5341</v>
      </c>
      <c r="D1551" s="1858">
        <v>0</v>
      </c>
      <c r="E1551" s="1858">
        <v>0</v>
      </c>
      <c r="F1551" s="1859">
        <v>0</v>
      </c>
      <c r="G1551" s="1872" t="s">
        <v>5341</v>
      </c>
      <c r="H1551" s="1856">
        <v>0</v>
      </c>
      <c r="I1551" s="1856" t="s">
        <v>3909</v>
      </c>
      <c r="J1551" s="1873">
        <v>0</v>
      </c>
      <c r="K1551" s="1860"/>
      <c r="L1551" s="1854">
        <v>13135050537</v>
      </c>
      <c r="M1551" s="1855">
        <v>0</v>
      </c>
      <c r="N1551" s="1855">
        <v>0</v>
      </c>
      <c r="O1551" s="1856">
        <v>0</v>
      </c>
    </row>
    <row r="1552" spans="3:15" ht="13.5">
      <c r="C1552" s="1861" t="s">
        <v>5342</v>
      </c>
      <c r="D1552" s="1858">
        <v>1</v>
      </c>
      <c r="E1552" s="1858">
        <v>1</v>
      </c>
      <c r="F1552" s="1859">
        <v>2</v>
      </c>
      <c r="G1552" s="1872" t="s">
        <v>5342</v>
      </c>
      <c r="H1552" s="1856">
        <v>1</v>
      </c>
      <c r="I1552" s="1856">
        <v>0</v>
      </c>
      <c r="J1552" s="1873">
        <v>1</v>
      </c>
      <c r="K1552" s="1860"/>
      <c r="L1552" s="1854">
        <v>13135050538</v>
      </c>
      <c r="M1552" s="1855">
        <v>1</v>
      </c>
      <c r="N1552" s="1855">
        <v>1</v>
      </c>
      <c r="O1552" s="1856">
        <v>2</v>
      </c>
    </row>
    <row r="1553" spans="3:15" ht="13.5">
      <c r="C1553" s="1861" t="s">
        <v>5343</v>
      </c>
      <c r="D1553" s="1858">
        <v>0</v>
      </c>
      <c r="E1553" s="1858">
        <v>0</v>
      </c>
      <c r="F1553" s="1859">
        <v>0</v>
      </c>
      <c r="G1553" s="1872" t="s">
        <v>5343</v>
      </c>
      <c r="H1553" s="1856">
        <v>0</v>
      </c>
      <c r="I1553" s="1856">
        <v>0</v>
      </c>
      <c r="J1553" s="1873">
        <v>0</v>
      </c>
      <c r="K1553" s="1860"/>
      <c r="L1553" s="1854">
        <v>13135050539</v>
      </c>
      <c r="M1553" s="1855">
        <v>0</v>
      </c>
      <c r="N1553" s="1855">
        <v>0</v>
      </c>
      <c r="O1553" s="1856">
        <v>0</v>
      </c>
    </row>
    <row r="1554" spans="3:15" ht="13.5">
      <c r="C1554" s="1861" t="s">
        <v>5344</v>
      </c>
      <c r="D1554" s="1858">
        <v>1</v>
      </c>
      <c r="E1554" s="1858">
        <v>1</v>
      </c>
      <c r="F1554" s="1859">
        <v>2</v>
      </c>
      <c r="G1554" s="1872" t="s">
        <v>5344</v>
      </c>
      <c r="H1554" s="1856">
        <v>0</v>
      </c>
      <c r="I1554" s="1856">
        <v>0</v>
      </c>
      <c r="J1554" s="1873">
        <v>0</v>
      </c>
      <c r="K1554" s="1860"/>
      <c r="L1554" s="1854">
        <v>13135050540</v>
      </c>
      <c r="M1554" s="1855">
        <v>1</v>
      </c>
      <c r="N1554" s="1855">
        <v>1</v>
      </c>
      <c r="O1554" s="1856">
        <v>2</v>
      </c>
    </row>
    <row r="1555" spans="3:15" ht="13.5">
      <c r="C1555" s="1861" t="s">
        <v>5345</v>
      </c>
      <c r="D1555" s="1858">
        <v>0</v>
      </c>
      <c r="E1555" s="1858">
        <v>0</v>
      </c>
      <c r="F1555" s="1859">
        <v>0</v>
      </c>
      <c r="G1555" s="1872" t="s">
        <v>5345</v>
      </c>
      <c r="H1555" s="1856">
        <v>0</v>
      </c>
      <c r="I1555" s="1856" t="s">
        <v>3909</v>
      </c>
      <c r="J1555" s="1873">
        <v>0</v>
      </c>
      <c r="K1555" s="1860"/>
      <c r="L1555" s="1854">
        <v>13135050541</v>
      </c>
      <c r="M1555" s="1855">
        <v>0</v>
      </c>
      <c r="N1555" s="1855">
        <v>0</v>
      </c>
      <c r="O1555" s="1856">
        <v>0</v>
      </c>
    </row>
    <row r="1556" spans="3:15" ht="13.5">
      <c r="C1556" s="1861" t="s">
        <v>5346</v>
      </c>
      <c r="D1556" s="1858">
        <v>0</v>
      </c>
      <c r="E1556" s="1858">
        <v>0</v>
      </c>
      <c r="F1556" s="1859">
        <v>0</v>
      </c>
      <c r="G1556" s="1872" t="s">
        <v>5346</v>
      </c>
      <c r="H1556" s="1856">
        <v>0</v>
      </c>
      <c r="I1556" s="1856">
        <v>0</v>
      </c>
      <c r="J1556" s="1873">
        <v>0</v>
      </c>
      <c r="K1556" s="1860"/>
      <c r="L1556" s="1854">
        <v>13135050542</v>
      </c>
      <c r="M1556" s="1855">
        <v>0</v>
      </c>
      <c r="N1556" s="1855">
        <v>0</v>
      </c>
      <c r="O1556" s="1856">
        <v>0</v>
      </c>
    </row>
    <row r="1557" spans="3:15" ht="13.5">
      <c r="C1557" s="1861" t="s">
        <v>5347</v>
      </c>
      <c r="D1557" s="1858">
        <v>1</v>
      </c>
      <c r="E1557" s="1858">
        <v>1</v>
      </c>
      <c r="F1557" s="1859">
        <v>2</v>
      </c>
      <c r="G1557" s="1872" t="s">
        <v>5347</v>
      </c>
      <c r="H1557" s="1856">
        <v>1</v>
      </c>
      <c r="I1557" s="1856">
        <v>1</v>
      </c>
      <c r="J1557" s="1873">
        <v>2</v>
      </c>
      <c r="K1557" s="1860"/>
      <c r="L1557" s="1854">
        <v>13135050543</v>
      </c>
      <c r="M1557" s="1855">
        <v>1</v>
      </c>
      <c r="N1557" s="1855">
        <v>1</v>
      </c>
      <c r="O1557" s="1856">
        <v>2</v>
      </c>
    </row>
    <row r="1558" spans="3:15" ht="13.5">
      <c r="C1558" s="1861" t="s">
        <v>5348</v>
      </c>
      <c r="D1558" s="1858">
        <v>1</v>
      </c>
      <c r="E1558" s="1858">
        <v>1</v>
      </c>
      <c r="F1558" s="1859">
        <v>2</v>
      </c>
      <c r="G1558" s="1872" t="s">
        <v>5348</v>
      </c>
      <c r="H1558" s="1856">
        <v>1</v>
      </c>
      <c r="I1558" s="1856">
        <v>1</v>
      </c>
      <c r="J1558" s="1873">
        <v>2</v>
      </c>
      <c r="K1558" s="1860"/>
      <c r="L1558" s="1854">
        <v>13135050544</v>
      </c>
      <c r="M1558" s="1855">
        <v>1</v>
      </c>
      <c r="N1558" s="1855">
        <v>1</v>
      </c>
      <c r="O1558" s="1856">
        <v>2</v>
      </c>
    </row>
    <row r="1559" spans="3:15" ht="13.5">
      <c r="C1559" s="1861" t="s">
        <v>5349</v>
      </c>
      <c r="D1559" s="1858">
        <v>1</v>
      </c>
      <c r="E1559" s="1858">
        <v>0</v>
      </c>
      <c r="F1559" s="1859">
        <v>1</v>
      </c>
      <c r="G1559" s="1872" t="s">
        <v>5349</v>
      </c>
      <c r="H1559" s="1856">
        <v>1</v>
      </c>
      <c r="I1559" s="1856">
        <v>0</v>
      </c>
      <c r="J1559" s="1873">
        <v>1</v>
      </c>
      <c r="K1559" s="1860"/>
      <c r="L1559" s="1854">
        <v>13135050545</v>
      </c>
      <c r="M1559" s="1855">
        <v>1</v>
      </c>
      <c r="N1559" s="1855">
        <v>0</v>
      </c>
      <c r="O1559" s="1856">
        <v>1</v>
      </c>
    </row>
    <row r="1560" spans="3:15" ht="13.5">
      <c r="C1560" s="1861" t="s">
        <v>5350</v>
      </c>
      <c r="D1560" s="1858">
        <v>1</v>
      </c>
      <c r="E1560" s="1858">
        <v>1</v>
      </c>
      <c r="F1560" s="1859">
        <v>2</v>
      </c>
      <c r="G1560" s="1872" t="s">
        <v>5350</v>
      </c>
      <c r="H1560" s="1856">
        <v>1</v>
      </c>
      <c r="I1560" s="1856">
        <v>1</v>
      </c>
      <c r="J1560" s="1873">
        <v>2</v>
      </c>
      <c r="K1560" s="1860"/>
      <c r="L1560" s="1854">
        <v>13135050546</v>
      </c>
      <c r="M1560" s="1855">
        <v>1</v>
      </c>
      <c r="N1560" s="1855">
        <v>1</v>
      </c>
      <c r="O1560" s="1856">
        <v>2</v>
      </c>
    </row>
    <row r="1561" spans="3:15" ht="13.5">
      <c r="C1561" s="1861" t="s">
        <v>5351</v>
      </c>
      <c r="D1561" s="1858">
        <v>1</v>
      </c>
      <c r="E1561" s="1858">
        <v>1</v>
      </c>
      <c r="F1561" s="1859">
        <v>2</v>
      </c>
      <c r="G1561" s="1872" t="s">
        <v>5351</v>
      </c>
      <c r="H1561" s="1856">
        <v>1</v>
      </c>
      <c r="I1561" s="1856">
        <v>1</v>
      </c>
      <c r="J1561" s="1873">
        <v>2</v>
      </c>
      <c r="K1561" s="1860"/>
      <c r="L1561" s="1854">
        <v>13135050547</v>
      </c>
      <c r="M1561" s="1855">
        <v>1</v>
      </c>
      <c r="N1561" s="1855">
        <v>1</v>
      </c>
      <c r="O1561" s="1856">
        <v>2</v>
      </c>
    </row>
    <row r="1562" spans="3:15" ht="13.5">
      <c r="C1562" s="1861" t="s">
        <v>5352</v>
      </c>
      <c r="D1562" s="1858">
        <v>1</v>
      </c>
      <c r="E1562" s="1858">
        <v>1</v>
      </c>
      <c r="F1562" s="1859">
        <v>2</v>
      </c>
      <c r="G1562" s="1872" t="s">
        <v>5352</v>
      </c>
      <c r="H1562" s="1856">
        <v>1</v>
      </c>
      <c r="I1562" s="1856">
        <v>1</v>
      </c>
      <c r="J1562" s="1873">
        <v>2</v>
      </c>
      <c r="K1562" s="1860"/>
      <c r="L1562" s="1854">
        <v>13135050548</v>
      </c>
      <c r="M1562" s="1855">
        <v>1</v>
      </c>
      <c r="N1562" s="1855">
        <v>1</v>
      </c>
      <c r="O1562" s="1856">
        <v>2</v>
      </c>
    </row>
    <row r="1563" spans="3:15" ht="13.5">
      <c r="C1563" s="1861" t="s">
        <v>5353</v>
      </c>
      <c r="D1563" s="1858">
        <v>1</v>
      </c>
      <c r="E1563" s="1858">
        <v>1</v>
      </c>
      <c r="F1563" s="1859">
        <v>2</v>
      </c>
      <c r="G1563" s="1872" t="s">
        <v>5353</v>
      </c>
      <c r="H1563" s="1856">
        <v>1</v>
      </c>
      <c r="I1563" s="1856">
        <v>1</v>
      </c>
      <c r="J1563" s="1873">
        <v>2</v>
      </c>
      <c r="K1563" s="1860"/>
      <c r="L1563" s="1854">
        <v>13135050549</v>
      </c>
      <c r="M1563" s="1855">
        <v>1</v>
      </c>
      <c r="N1563" s="1855">
        <v>1</v>
      </c>
      <c r="O1563" s="1856">
        <v>2</v>
      </c>
    </row>
    <row r="1564" spans="3:15" ht="13.5">
      <c r="C1564" s="1861" t="s">
        <v>5354</v>
      </c>
      <c r="D1564" s="1858">
        <v>1</v>
      </c>
      <c r="E1564" s="1858">
        <v>1</v>
      </c>
      <c r="F1564" s="1859">
        <v>2</v>
      </c>
      <c r="G1564" s="1872" t="s">
        <v>5354</v>
      </c>
      <c r="H1564" s="1856">
        <v>1</v>
      </c>
      <c r="I1564" s="1856">
        <v>1</v>
      </c>
      <c r="J1564" s="1873">
        <v>2</v>
      </c>
      <c r="K1564" s="1860"/>
      <c r="L1564" s="1854">
        <v>13135050605</v>
      </c>
      <c r="M1564" s="1855">
        <v>1</v>
      </c>
      <c r="N1564" s="1855">
        <v>1</v>
      </c>
      <c r="O1564" s="1856">
        <v>2</v>
      </c>
    </row>
    <row r="1565" spans="3:15" ht="13.5">
      <c r="C1565" s="1861" t="s">
        <v>5355</v>
      </c>
      <c r="D1565" s="1858">
        <v>1</v>
      </c>
      <c r="E1565" s="1858">
        <v>1</v>
      </c>
      <c r="F1565" s="1859">
        <v>2</v>
      </c>
      <c r="G1565" s="1872" t="s">
        <v>5355</v>
      </c>
      <c r="H1565" s="1856">
        <v>1</v>
      </c>
      <c r="I1565" s="1856">
        <v>1</v>
      </c>
      <c r="J1565" s="1873">
        <v>2</v>
      </c>
      <c r="K1565" s="1860"/>
      <c r="L1565" s="1854">
        <v>13135050606</v>
      </c>
      <c r="M1565" s="1855">
        <v>1</v>
      </c>
      <c r="N1565" s="1855">
        <v>1</v>
      </c>
      <c r="O1565" s="1856">
        <v>2</v>
      </c>
    </row>
    <row r="1566" spans="3:15" ht="13.5">
      <c r="C1566" s="1861" t="s">
        <v>5356</v>
      </c>
      <c r="D1566" s="1858">
        <v>1</v>
      </c>
      <c r="E1566" s="1858">
        <v>1</v>
      </c>
      <c r="F1566" s="1859">
        <v>2</v>
      </c>
      <c r="G1566" s="1872" t="s">
        <v>5356</v>
      </c>
      <c r="H1566" s="1856">
        <v>1</v>
      </c>
      <c r="I1566" s="1856">
        <v>1</v>
      </c>
      <c r="J1566" s="1873">
        <v>2</v>
      </c>
      <c r="K1566" s="1860"/>
      <c r="L1566" s="1854">
        <v>13135050607</v>
      </c>
      <c r="M1566" s="1855">
        <v>1</v>
      </c>
      <c r="N1566" s="1855">
        <v>1</v>
      </c>
      <c r="O1566" s="1856">
        <v>2</v>
      </c>
    </row>
    <row r="1567" spans="3:15" ht="13.5">
      <c r="C1567" s="1861" t="s">
        <v>5357</v>
      </c>
      <c r="D1567" s="1858">
        <v>1</v>
      </c>
      <c r="E1567" s="1858">
        <v>1</v>
      </c>
      <c r="F1567" s="1859">
        <v>2</v>
      </c>
      <c r="G1567" s="1872" t="s">
        <v>5357</v>
      </c>
      <c r="H1567" s="1856">
        <v>1</v>
      </c>
      <c r="I1567" s="1856">
        <v>1</v>
      </c>
      <c r="J1567" s="1873">
        <v>2</v>
      </c>
      <c r="K1567" s="1860"/>
      <c r="L1567" s="1854">
        <v>13135050608</v>
      </c>
      <c r="M1567" s="1855">
        <v>1</v>
      </c>
      <c r="N1567" s="1855">
        <v>1</v>
      </c>
      <c r="O1567" s="1856">
        <v>2</v>
      </c>
    </row>
    <row r="1568" spans="3:15" ht="13.5">
      <c r="C1568" s="1861" t="s">
        <v>5358</v>
      </c>
      <c r="D1568" s="1858">
        <v>1</v>
      </c>
      <c r="E1568" s="1858">
        <v>1</v>
      </c>
      <c r="F1568" s="1859">
        <v>2</v>
      </c>
      <c r="G1568" s="1872" t="s">
        <v>5358</v>
      </c>
      <c r="H1568" s="1856">
        <v>1</v>
      </c>
      <c r="I1568" s="1856">
        <v>1</v>
      </c>
      <c r="J1568" s="1873">
        <v>2</v>
      </c>
      <c r="K1568" s="1860"/>
      <c r="L1568" s="1854">
        <v>13135050609</v>
      </c>
      <c r="M1568" s="1855">
        <v>1</v>
      </c>
      <c r="N1568" s="1855">
        <v>1</v>
      </c>
      <c r="O1568" s="1856">
        <v>2</v>
      </c>
    </row>
    <row r="1569" spans="3:15" ht="13.5">
      <c r="C1569" s="1861" t="s">
        <v>5359</v>
      </c>
      <c r="D1569" s="1858">
        <v>1</v>
      </c>
      <c r="E1569" s="1858">
        <v>1</v>
      </c>
      <c r="F1569" s="1859">
        <v>2</v>
      </c>
      <c r="G1569" s="1872" t="s">
        <v>5359</v>
      </c>
      <c r="H1569" s="1856">
        <v>1</v>
      </c>
      <c r="I1569" s="1856">
        <v>1</v>
      </c>
      <c r="J1569" s="1873">
        <v>2</v>
      </c>
      <c r="K1569" s="1860"/>
      <c r="L1569" s="1854">
        <v>13135050610</v>
      </c>
      <c r="M1569" s="1855">
        <v>1</v>
      </c>
      <c r="N1569" s="1855">
        <v>1</v>
      </c>
      <c r="O1569" s="1856">
        <v>2</v>
      </c>
    </row>
    <row r="1570" spans="3:15" ht="13.5">
      <c r="C1570" s="1861" t="s">
        <v>5360</v>
      </c>
      <c r="D1570" s="1858">
        <v>0</v>
      </c>
      <c r="E1570" s="1858">
        <v>1</v>
      </c>
      <c r="F1570" s="1859">
        <v>1</v>
      </c>
      <c r="G1570" s="1872" t="s">
        <v>5360</v>
      </c>
      <c r="H1570" s="1856">
        <v>0</v>
      </c>
      <c r="I1570" s="1856">
        <v>1</v>
      </c>
      <c r="J1570" s="1873">
        <v>1</v>
      </c>
      <c r="K1570" s="1860"/>
      <c r="L1570" s="1854">
        <v>13135050709</v>
      </c>
      <c r="M1570" s="1855">
        <v>0</v>
      </c>
      <c r="N1570" s="1855">
        <v>1</v>
      </c>
      <c r="O1570" s="1856">
        <v>1</v>
      </c>
    </row>
    <row r="1571" spans="3:15" ht="13.5">
      <c r="C1571" s="1861" t="s">
        <v>5361</v>
      </c>
      <c r="D1571" s="1858">
        <v>1</v>
      </c>
      <c r="E1571" s="1858">
        <v>1</v>
      </c>
      <c r="F1571" s="1859">
        <v>2</v>
      </c>
      <c r="G1571" s="1872" t="s">
        <v>5361</v>
      </c>
      <c r="H1571" s="1856">
        <v>1</v>
      </c>
      <c r="I1571" s="1856">
        <v>1</v>
      </c>
      <c r="J1571" s="1873">
        <v>2</v>
      </c>
      <c r="K1571" s="1860"/>
      <c r="L1571" s="1854">
        <v>13135050712</v>
      </c>
      <c r="M1571" s="1855">
        <v>1</v>
      </c>
      <c r="N1571" s="1855">
        <v>1</v>
      </c>
      <c r="O1571" s="1856">
        <v>2</v>
      </c>
    </row>
    <row r="1572" spans="3:15" ht="13.5">
      <c r="C1572" s="1861" t="s">
        <v>5362</v>
      </c>
      <c r="D1572" s="1858">
        <v>1</v>
      </c>
      <c r="E1572" s="1858">
        <v>1</v>
      </c>
      <c r="F1572" s="1859">
        <v>2</v>
      </c>
      <c r="G1572" s="1872" t="s">
        <v>5362</v>
      </c>
      <c r="H1572" s="1856">
        <v>1</v>
      </c>
      <c r="I1572" s="1856">
        <v>1</v>
      </c>
      <c r="J1572" s="1873">
        <v>2</v>
      </c>
      <c r="K1572" s="1860"/>
      <c r="L1572" s="1854">
        <v>13135050713</v>
      </c>
      <c r="M1572" s="1855">
        <v>1</v>
      </c>
      <c r="N1572" s="1855">
        <v>1</v>
      </c>
      <c r="O1572" s="1856">
        <v>2</v>
      </c>
    </row>
    <row r="1573" spans="3:15" ht="13.5">
      <c r="C1573" s="1861" t="s">
        <v>5363</v>
      </c>
      <c r="D1573" s="1858">
        <v>1</v>
      </c>
      <c r="E1573" s="1858">
        <v>1</v>
      </c>
      <c r="F1573" s="1859">
        <v>2</v>
      </c>
      <c r="G1573" s="1872" t="s">
        <v>5363</v>
      </c>
      <c r="H1573" s="1856">
        <v>1</v>
      </c>
      <c r="I1573" s="1856">
        <v>1</v>
      </c>
      <c r="J1573" s="1873">
        <v>2</v>
      </c>
      <c r="K1573" s="1860"/>
      <c r="L1573" s="1854">
        <v>13135050714</v>
      </c>
      <c r="M1573" s="1855">
        <v>1</v>
      </c>
      <c r="N1573" s="1855">
        <v>1</v>
      </c>
      <c r="O1573" s="1856">
        <v>2</v>
      </c>
    </row>
    <row r="1574" spans="3:15" ht="13.5">
      <c r="C1574" s="1861" t="s">
        <v>5364</v>
      </c>
      <c r="D1574" s="1858">
        <v>1</v>
      </c>
      <c r="E1574" s="1858">
        <v>1</v>
      </c>
      <c r="F1574" s="1859">
        <v>2</v>
      </c>
      <c r="G1574" s="1872" t="s">
        <v>5364</v>
      </c>
      <c r="H1574" s="1856">
        <v>1</v>
      </c>
      <c r="I1574" s="1856">
        <v>1</v>
      </c>
      <c r="J1574" s="1873">
        <v>2</v>
      </c>
      <c r="K1574" s="1860"/>
      <c r="L1574" s="1854">
        <v>13135050715</v>
      </c>
      <c r="M1574" s="1855">
        <v>1</v>
      </c>
      <c r="N1574" s="1855">
        <v>1</v>
      </c>
      <c r="O1574" s="1856">
        <v>2</v>
      </c>
    </row>
    <row r="1575" spans="3:15" ht="13.5">
      <c r="C1575" s="1861" t="s">
        <v>5365</v>
      </c>
      <c r="D1575" s="1858">
        <v>1</v>
      </c>
      <c r="E1575" s="1858">
        <v>1</v>
      </c>
      <c r="F1575" s="1859">
        <v>2</v>
      </c>
      <c r="G1575" s="1872" t="s">
        <v>5365</v>
      </c>
      <c r="H1575" s="1856">
        <v>1</v>
      </c>
      <c r="I1575" s="1856" t="s">
        <v>3909</v>
      </c>
      <c r="J1575" s="1873">
        <v>1</v>
      </c>
      <c r="K1575" s="1860"/>
      <c r="L1575" s="1854">
        <v>13135050718</v>
      </c>
      <c r="M1575" s="1855">
        <v>1</v>
      </c>
      <c r="N1575" s="1855">
        <v>1</v>
      </c>
      <c r="O1575" s="1856">
        <v>2</v>
      </c>
    </row>
    <row r="1576" spans="3:15" ht="13.5">
      <c r="C1576" s="1861" t="s">
        <v>5366</v>
      </c>
      <c r="D1576" s="1858">
        <v>1</v>
      </c>
      <c r="E1576" s="1858">
        <v>1</v>
      </c>
      <c r="F1576" s="1859">
        <v>2</v>
      </c>
      <c r="G1576" s="1872" t="s">
        <v>5366</v>
      </c>
      <c r="H1576" s="1856">
        <v>1</v>
      </c>
      <c r="I1576" s="1856">
        <v>0</v>
      </c>
      <c r="J1576" s="1873">
        <v>1</v>
      </c>
      <c r="K1576" s="1860"/>
      <c r="L1576" s="1854">
        <v>13135050719</v>
      </c>
      <c r="M1576" s="1855">
        <v>1</v>
      </c>
      <c r="N1576" s="1855">
        <v>1</v>
      </c>
      <c r="O1576" s="1856">
        <v>2</v>
      </c>
    </row>
    <row r="1577" spans="3:15" ht="13.5">
      <c r="C1577" s="1861" t="s">
        <v>5367</v>
      </c>
      <c r="D1577" s="1858">
        <v>1</v>
      </c>
      <c r="E1577" s="1858">
        <v>1</v>
      </c>
      <c r="F1577" s="1859">
        <v>2</v>
      </c>
      <c r="G1577" s="1872" t="s">
        <v>5367</v>
      </c>
      <c r="H1577" s="1856">
        <v>1</v>
      </c>
      <c r="I1577" s="1856">
        <v>1</v>
      </c>
      <c r="J1577" s="1873">
        <v>2</v>
      </c>
      <c r="K1577" s="1860"/>
      <c r="L1577" s="1854">
        <v>13135050720</v>
      </c>
      <c r="M1577" s="1855">
        <v>1</v>
      </c>
      <c r="N1577" s="1855">
        <v>1</v>
      </c>
      <c r="O1577" s="1856">
        <v>2</v>
      </c>
    </row>
    <row r="1578" spans="3:15" ht="13.5">
      <c r="C1578" s="1861" t="s">
        <v>5368</v>
      </c>
      <c r="D1578" s="1858">
        <v>1</v>
      </c>
      <c r="E1578" s="1858">
        <v>0</v>
      </c>
      <c r="F1578" s="1859">
        <v>1</v>
      </c>
      <c r="G1578" s="1872" t="s">
        <v>5368</v>
      </c>
      <c r="H1578" s="1856">
        <v>1</v>
      </c>
      <c r="I1578" s="1856">
        <v>1</v>
      </c>
      <c r="J1578" s="1873">
        <v>2</v>
      </c>
      <c r="K1578" s="1860"/>
      <c r="L1578" s="1854">
        <v>13135050721</v>
      </c>
      <c r="M1578" s="1855">
        <v>1</v>
      </c>
      <c r="N1578" s="1855">
        <v>1</v>
      </c>
      <c r="O1578" s="1856">
        <v>2</v>
      </c>
    </row>
    <row r="1579" spans="3:15" ht="13.5">
      <c r="C1579" s="1861" t="s">
        <v>5369</v>
      </c>
      <c r="D1579" s="1858">
        <v>0</v>
      </c>
      <c r="E1579" s="1858">
        <v>0</v>
      </c>
      <c r="F1579" s="1859">
        <v>0</v>
      </c>
      <c r="G1579" s="1872" t="s">
        <v>5369</v>
      </c>
      <c r="H1579" s="1856">
        <v>0</v>
      </c>
      <c r="I1579" s="1856">
        <v>0</v>
      </c>
      <c r="J1579" s="1873">
        <v>0</v>
      </c>
      <c r="K1579" s="1860"/>
      <c r="L1579" s="1854">
        <v>13135050722</v>
      </c>
      <c r="M1579" s="1855">
        <v>0</v>
      </c>
      <c r="N1579" s="1855">
        <v>0</v>
      </c>
      <c r="O1579" s="1856">
        <v>0</v>
      </c>
    </row>
    <row r="1580" spans="3:15" ht="13.5">
      <c r="C1580" s="1861" t="s">
        <v>5370</v>
      </c>
      <c r="D1580" s="1858">
        <v>0</v>
      </c>
      <c r="E1580" s="1858">
        <v>1</v>
      </c>
      <c r="F1580" s="1859">
        <v>1</v>
      </c>
      <c r="G1580" s="1872" t="s">
        <v>5370</v>
      </c>
      <c r="H1580" s="1856">
        <v>1</v>
      </c>
      <c r="I1580" s="1856">
        <v>1</v>
      </c>
      <c r="J1580" s="1873">
        <v>2</v>
      </c>
      <c r="K1580" s="1860"/>
      <c r="L1580" s="1854">
        <v>13135050723</v>
      </c>
      <c r="M1580" s="1855">
        <v>1</v>
      </c>
      <c r="N1580" s="1855">
        <v>1</v>
      </c>
      <c r="O1580" s="1856">
        <v>2</v>
      </c>
    </row>
    <row r="1581" spans="3:15" ht="13.5">
      <c r="C1581" s="1861" t="s">
        <v>5371</v>
      </c>
      <c r="D1581" s="1858">
        <v>1</v>
      </c>
      <c r="E1581" s="1858">
        <v>1</v>
      </c>
      <c r="F1581" s="1859">
        <v>2</v>
      </c>
      <c r="G1581" s="1872" t="s">
        <v>5371</v>
      </c>
      <c r="H1581" s="1856">
        <v>1</v>
      </c>
      <c r="I1581" s="1856">
        <v>1</v>
      </c>
      <c r="J1581" s="1873">
        <v>2</v>
      </c>
      <c r="K1581" s="1860"/>
      <c r="L1581" s="1854">
        <v>13135050724</v>
      </c>
      <c r="M1581" s="1855">
        <v>1</v>
      </c>
      <c r="N1581" s="1855">
        <v>1</v>
      </c>
      <c r="O1581" s="1856">
        <v>2</v>
      </c>
    </row>
    <row r="1582" spans="3:15" ht="13.5">
      <c r="C1582" s="1861" t="s">
        <v>5372</v>
      </c>
      <c r="D1582" s="1858">
        <v>1</v>
      </c>
      <c r="E1582" s="1858">
        <v>1</v>
      </c>
      <c r="F1582" s="1859">
        <v>2</v>
      </c>
      <c r="G1582" s="1872" t="s">
        <v>5372</v>
      </c>
      <c r="H1582" s="1856">
        <v>1</v>
      </c>
      <c r="I1582" s="1856">
        <v>1</v>
      </c>
      <c r="J1582" s="1873">
        <v>2</v>
      </c>
      <c r="K1582" s="1860"/>
      <c r="L1582" s="1854">
        <v>13135050725</v>
      </c>
      <c r="M1582" s="1855">
        <v>1</v>
      </c>
      <c r="N1582" s="1855">
        <v>1</v>
      </c>
      <c r="O1582" s="1856">
        <v>2</v>
      </c>
    </row>
    <row r="1583" spans="3:15" ht="13.5">
      <c r="C1583" s="1861" t="s">
        <v>5373</v>
      </c>
      <c r="D1583" s="1858">
        <v>1</v>
      </c>
      <c r="E1583" s="1858">
        <v>1</v>
      </c>
      <c r="F1583" s="1859">
        <v>2</v>
      </c>
      <c r="G1583" s="1872" t="s">
        <v>5373</v>
      </c>
      <c r="H1583" s="1856">
        <v>1</v>
      </c>
      <c r="I1583" s="1856">
        <v>1</v>
      </c>
      <c r="J1583" s="1873">
        <v>2</v>
      </c>
      <c r="K1583" s="1860"/>
      <c r="L1583" s="1854">
        <v>13135050726</v>
      </c>
      <c r="M1583" s="1855">
        <v>1</v>
      </c>
      <c r="N1583" s="1855">
        <v>1</v>
      </c>
      <c r="O1583" s="1856">
        <v>2</v>
      </c>
    </row>
    <row r="1584" spans="3:15" ht="13.5">
      <c r="C1584" s="1861" t="s">
        <v>5374</v>
      </c>
      <c r="D1584" s="1858">
        <v>1</v>
      </c>
      <c r="E1584" s="1858">
        <v>1</v>
      </c>
      <c r="F1584" s="1859">
        <v>2</v>
      </c>
      <c r="G1584" s="1872" t="s">
        <v>5374</v>
      </c>
      <c r="H1584" s="1856">
        <v>1</v>
      </c>
      <c r="I1584" s="1856">
        <v>1</v>
      </c>
      <c r="J1584" s="1873">
        <v>2</v>
      </c>
      <c r="K1584" s="1860"/>
      <c r="L1584" s="1854">
        <v>13135050727</v>
      </c>
      <c r="M1584" s="1855">
        <v>1</v>
      </c>
      <c r="N1584" s="1855">
        <v>1</v>
      </c>
      <c r="O1584" s="1856">
        <v>2</v>
      </c>
    </row>
    <row r="1585" spans="3:15" ht="13.5">
      <c r="C1585" s="1861" t="s">
        <v>5375</v>
      </c>
      <c r="D1585" s="1858">
        <v>1</v>
      </c>
      <c r="E1585" s="1858">
        <v>1</v>
      </c>
      <c r="F1585" s="1859">
        <v>2</v>
      </c>
      <c r="G1585" s="1872" t="s">
        <v>5375</v>
      </c>
      <c r="H1585" s="1856">
        <v>1</v>
      </c>
      <c r="I1585" s="1856">
        <v>1</v>
      </c>
      <c r="J1585" s="1873">
        <v>2</v>
      </c>
      <c r="K1585" s="1860"/>
      <c r="L1585" s="1854">
        <v>13135050728</v>
      </c>
      <c r="M1585" s="1855">
        <v>1</v>
      </c>
      <c r="N1585" s="1855">
        <v>1</v>
      </c>
      <c r="O1585" s="1856">
        <v>2</v>
      </c>
    </row>
    <row r="1586" spans="3:15" ht="13.5">
      <c r="C1586" s="1861" t="s">
        <v>5376</v>
      </c>
      <c r="D1586" s="1858">
        <v>0</v>
      </c>
      <c r="E1586" s="1858">
        <v>0</v>
      </c>
      <c r="F1586" s="1859">
        <v>0</v>
      </c>
      <c r="G1586" s="1872" t="s">
        <v>5376</v>
      </c>
      <c r="H1586" s="1856">
        <v>1</v>
      </c>
      <c r="I1586" s="1856">
        <v>0</v>
      </c>
      <c r="J1586" s="1873">
        <v>1</v>
      </c>
      <c r="K1586" s="1860"/>
      <c r="L1586" s="1854">
        <v>13135050729</v>
      </c>
      <c r="M1586" s="1855">
        <v>1</v>
      </c>
      <c r="N1586" s="1855">
        <v>0</v>
      </c>
      <c r="O1586" s="1856">
        <v>1</v>
      </c>
    </row>
    <row r="1587" spans="3:15" ht="13.5">
      <c r="C1587" s="1861" t="s">
        <v>5377</v>
      </c>
      <c r="D1587" s="1858">
        <v>1</v>
      </c>
      <c r="E1587" s="1858">
        <v>1</v>
      </c>
      <c r="F1587" s="1859">
        <v>2</v>
      </c>
      <c r="G1587" s="1872" t="s">
        <v>5377</v>
      </c>
      <c r="H1587" s="1856">
        <v>1</v>
      </c>
      <c r="I1587" s="1856">
        <v>0</v>
      </c>
      <c r="J1587" s="1873">
        <v>1</v>
      </c>
      <c r="K1587" s="1860"/>
      <c r="L1587" s="1854">
        <v>13135050730</v>
      </c>
      <c r="M1587" s="1855">
        <v>1</v>
      </c>
      <c r="N1587" s="1855">
        <v>1</v>
      </c>
      <c r="O1587" s="1856">
        <v>2</v>
      </c>
    </row>
    <row r="1588" spans="3:15" ht="13.5">
      <c r="C1588" s="1861" t="s">
        <v>5378</v>
      </c>
      <c r="D1588" s="1858">
        <v>1</v>
      </c>
      <c r="E1588" s="1858">
        <v>1</v>
      </c>
      <c r="F1588" s="1859">
        <v>2</v>
      </c>
      <c r="G1588" s="1872" t="s">
        <v>5378</v>
      </c>
      <c r="H1588" s="1856">
        <v>0</v>
      </c>
      <c r="I1588" s="1856">
        <v>1</v>
      </c>
      <c r="J1588" s="1873">
        <v>1</v>
      </c>
      <c r="K1588" s="1860"/>
      <c r="L1588" s="1854">
        <v>13135050731</v>
      </c>
      <c r="M1588" s="1855">
        <v>1</v>
      </c>
      <c r="N1588" s="1855">
        <v>1</v>
      </c>
      <c r="O1588" s="1856">
        <v>2</v>
      </c>
    </row>
    <row r="1589" spans="3:15" ht="13.5">
      <c r="C1589" s="1861" t="s">
        <v>5379</v>
      </c>
      <c r="D1589" s="1858">
        <v>1</v>
      </c>
      <c r="E1589" s="1858">
        <v>1</v>
      </c>
      <c r="F1589" s="1859">
        <v>2</v>
      </c>
      <c r="G1589" s="1872" t="s">
        <v>5379</v>
      </c>
      <c r="H1589" s="1856">
        <v>0</v>
      </c>
      <c r="I1589" s="1856">
        <v>1</v>
      </c>
      <c r="J1589" s="1873">
        <v>1</v>
      </c>
      <c r="K1589" s="1860"/>
      <c r="L1589" s="1854">
        <v>13137000100</v>
      </c>
      <c r="M1589" s="1855">
        <v>1</v>
      </c>
      <c r="N1589" s="1855">
        <v>1</v>
      </c>
      <c r="O1589" s="1856">
        <v>2</v>
      </c>
    </row>
    <row r="1590" spans="3:15" ht="13.5">
      <c r="C1590" s="1861" t="s">
        <v>5380</v>
      </c>
      <c r="D1590" s="1858">
        <v>1</v>
      </c>
      <c r="E1590" s="1858">
        <v>0</v>
      </c>
      <c r="F1590" s="1859">
        <v>1</v>
      </c>
      <c r="G1590" s="1872" t="s">
        <v>5380</v>
      </c>
      <c r="H1590" s="1856">
        <v>0</v>
      </c>
      <c r="I1590" s="1856">
        <v>0</v>
      </c>
      <c r="J1590" s="1873">
        <v>0</v>
      </c>
      <c r="K1590" s="1860"/>
      <c r="L1590" s="1854">
        <v>13137000201</v>
      </c>
      <c r="M1590" s="1855">
        <v>1</v>
      </c>
      <c r="N1590" s="1855">
        <v>0</v>
      </c>
      <c r="O1590" s="1856">
        <v>1</v>
      </c>
    </row>
    <row r="1591" spans="3:15" ht="13.5">
      <c r="C1591" s="1861" t="s">
        <v>5381</v>
      </c>
      <c r="D1591" s="1858">
        <v>1</v>
      </c>
      <c r="E1591" s="1858">
        <v>1</v>
      </c>
      <c r="F1591" s="1859">
        <v>2</v>
      </c>
      <c r="G1591" s="1872" t="s">
        <v>5381</v>
      </c>
      <c r="H1591" s="1856">
        <v>1</v>
      </c>
      <c r="I1591" s="1856">
        <v>0</v>
      </c>
      <c r="J1591" s="1873">
        <v>1</v>
      </c>
      <c r="K1591" s="1860"/>
      <c r="L1591" s="1854">
        <v>13137000202</v>
      </c>
      <c r="M1591" s="1855">
        <v>1</v>
      </c>
      <c r="N1591" s="1855">
        <v>1</v>
      </c>
      <c r="O1591" s="1856">
        <v>2</v>
      </c>
    </row>
    <row r="1592" spans="3:15" ht="13.5">
      <c r="C1592" s="1861" t="s">
        <v>5382</v>
      </c>
      <c r="D1592" s="1858">
        <v>0</v>
      </c>
      <c r="E1592" s="1858">
        <v>0</v>
      </c>
      <c r="F1592" s="1859">
        <v>0</v>
      </c>
      <c r="G1592" s="1872" t="s">
        <v>5382</v>
      </c>
      <c r="H1592" s="1856">
        <v>0</v>
      </c>
      <c r="I1592" s="1856">
        <v>0</v>
      </c>
      <c r="J1592" s="1873">
        <v>0</v>
      </c>
      <c r="K1592" s="1860"/>
      <c r="L1592" s="1854">
        <v>13137000300</v>
      </c>
      <c r="M1592" s="1855">
        <v>0</v>
      </c>
      <c r="N1592" s="1855">
        <v>0</v>
      </c>
      <c r="O1592" s="1856">
        <v>0</v>
      </c>
    </row>
    <row r="1593" spans="3:15" ht="13.5">
      <c r="C1593" s="1861" t="s">
        <v>5383</v>
      </c>
      <c r="D1593" s="1858">
        <v>1</v>
      </c>
      <c r="E1593" s="1858">
        <v>0</v>
      </c>
      <c r="F1593" s="1859">
        <v>1</v>
      </c>
      <c r="G1593" s="1872" t="s">
        <v>5383</v>
      </c>
      <c r="H1593" s="1856">
        <v>0</v>
      </c>
      <c r="I1593" s="1856">
        <v>1</v>
      </c>
      <c r="J1593" s="1873">
        <v>1</v>
      </c>
      <c r="K1593" s="1860"/>
      <c r="L1593" s="1854">
        <v>13137000400</v>
      </c>
      <c r="M1593" s="1855">
        <v>1</v>
      </c>
      <c r="N1593" s="1855">
        <v>1</v>
      </c>
      <c r="O1593" s="1856">
        <v>1</v>
      </c>
    </row>
    <row r="1594" spans="3:15" ht="13.5">
      <c r="C1594" s="1861" t="s">
        <v>5384</v>
      </c>
      <c r="D1594" s="1858">
        <v>0</v>
      </c>
      <c r="E1594" s="1858">
        <v>0</v>
      </c>
      <c r="F1594" s="1859">
        <v>0</v>
      </c>
      <c r="G1594" s="1872" t="s">
        <v>5384</v>
      </c>
      <c r="H1594" s="1856">
        <v>0</v>
      </c>
      <c r="I1594" s="1856">
        <v>1</v>
      </c>
      <c r="J1594" s="1873">
        <v>1</v>
      </c>
      <c r="K1594" s="1860"/>
      <c r="L1594" s="1854">
        <v>13137000500</v>
      </c>
      <c r="M1594" s="1855">
        <v>0</v>
      </c>
      <c r="N1594" s="1855">
        <v>1</v>
      </c>
      <c r="O1594" s="1856">
        <v>1</v>
      </c>
    </row>
    <row r="1595" spans="3:15" ht="13.5">
      <c r="C1595" s="1861" t="s">
        <v>5385</v>
      </c>
      <c r="D1595" s="1858">
        <v>0</v>
      </c>
      <c r="E1595" s="1858">
        <v>0</v>
      </c>
      <c r="F1595" s="1859">
        <v>0</v>
      </c>
      <c r="G1595" s="1872" t="s">
        <v>5385</v>
      </c>
      <c r="H1595" s="1856">
        <v>0</v>
      </c>
      <c r="I1595" s="1856">
        <v>0</v>
      </c>
      <c r="J1595" s="1873">
        <v>0</v>
      </c>
      <c r="K1595" s="1860"/>
      <c r="L1595" s="1854">
        <v>13137000601</v>
      </c>
      <c r="M1595" s="1855">
        <v>0</v>
      </c>
      <c r="N1595" s="1855">
        <v>0</v>
      </c>
      <c r="O1595" s="1856">
        <v>0</v>
      </c>
    </row>
    <row r="1596" spans="3:15" ht="13.5">
      <c r="C1596" s="1861" t="s">
        <v>5386</v>
      </c>
      <c r="D1596" s="1858">
        <v>0</v>
      </c>
      <c r="E1596" s="1858">
        <v>0</v>
      </c>
      <c r="F1596" s="1859">
        <v>0</v>
      </c>
      <c r="G1596" s="1872" t="s">
        <v>5386</v>
      </c>
      <c r="H1596" s="1856">
        <v>0</v>
      </c>
      <c r="I1596" s="1856">
        <v>0</v>
      </c>
      <c r="J1596" s="1873">
        <v>0</v>
      </c>
      <c r="K1596" s="1860"/>
      <c r="L1596" s="1854">
        <v>13137000602</v>
      </c>
      <c r="M1596" s="1855">
        <v>0</v>
      </c>
      <c r="N1596" s="1855">
        <v>0</v>
      </c>
      <c r="O1596" s="1856">
        <v>0</v>
      </c>
    </row>
    <row r="1597" spans="3:15" ht="13.5">
      <c r="C1597" s="1861" t="s">
        <v>5387</v>
      </c>
      <c r="D1597" s="1858">
        <v>1</v>
      </c>
      <c r="E1597" s="1858">
        <v>0</v>
      </c>
      <c r="F1597" s="1859">
        <v>1</v>
      </c>
      <c r="G1597" s="1872" t="s">
        <v>5387</v>
      </c>
      <c r="H1597" s="1856">
        <v>0</v>
      </c>
      <c r="I1597" s="1856">
        <v>0</v>
      </c>
      <c r="J1597" s="1873">
        <v>0</v>
      </c>
      <c r="K1597" s="1860"/>
      <c r="L1597" s="1854">
        <v>13139000101</v>
      </c>
      <c r="M1597" s="1855">
        <v>1</v>
      </c>
      <c r="N1597" s="1855">
        <v>0</v>
      </c>
      <c r="O1597" s="1856">
        <v>1</v>
      </c>
    </row>
    <row r="1598" spans="3:15" ht="13.5">
      <c r="C1598" s="1861" t="s">
        <v>5388</v>
      </c>
      <c r="D1598" s="1858">
        <v>1</v>
      </c>
      <c r="E1598" s="1858">
        <v>0</v>
      </c>
      <c r="F1598" s="1859">
        <v>1</v>
      </c>
      <c r="G1598" s="1872" t="s">
        <v>5388</v>
      </c>
      <c r="H1598" s="1856">
        <v>1</v>
      </c>
      <c r="I1598" s="1856">
        <v>0</v>
      </c>
      <c r="J1598" s="1873">
        <v>1</v>
      </c>
      <c r="K1598" s="1860"/>
      <c r="L1598" s="1854">
        <v>13139000102</v>
      </c>
      <c r="M1598" s="1855">
        <v>1</v>
      </c>
      <c r="N1598" s="1855">
        <v>0</v>
      </c>
      <c r="O1598" s="1856">
        <v>1</v>
      </c>
    </row>
    <row r="1599" spans="3:15" ht="13.5">
      <c r="C1599" s="1861" t="s">
        <v>5389</v>
      </c>
      <c r="D1599" s="1858">
        <v>0</v>
      </c>
      <c r="E1599" s="1858">
        <v>0</v>
      </c>
      <c r="F1599" s="1859">
        <v>0</v>
      </c>
      <c r="G1599" s="1872" t="s">
        <v>5389</v>
      </c>
      <c r="H1599" s="1856">
        <v>1</v>
      </c>
      <c r="I1599" s="1856">
        <v>0</v>
      </c>
      <c r="J1599" s="1873">
        <v>1</v>
      </c>
      <c r="K1599" s="1860"/>
      <c r="L1599" s="1854">
        <v>13139000201</v>
      </c>
      <c r="M1599" s="1855">
        <v>1</v>
      </c>
      <c r="N1599" s="1855">
        <v>0</v>
      </c>
      <c r="O1599" s="1856">
        <v>1</v>
      </c>
    </row>
    <row r="1600" spans="3:15" ht="13.5">
      <c r="C1600" s="1861" t="s">
        <v>5390</v>
      </c>
      <c r="D1600" s="1858">
        <v>1</v>
      </c>
      <c r="E1600" s="1858">
        <v>1</v>
      </c>
      <c r="F1600" s="1859">
        <v>2</v>
      </c>
      <c r="G1600" s="1872" t="s">
        <v>5390</v>
      </c>
      <c r="H1600" s="1856">
        <v>1</v>
      </c>
      <c r="I1600" s="1856">
        <v>1</v>
      </c>
      <c r="J1600" s="1873">
        <v>2</v>
      </c>
      <c r="K1600" s="1860"/>
      <c r="L1600" s="1854">
        <v>13139000203</v>
      </c>
      <c r="M1600" s="1855">
        <v>1</v>
      </c>
      <c r="N1600" s="1855">
        <v>1</v>
      </c>
      <c r="O1600" s="1856">
        <v>2</v>
      </c>
    </row>
    <row r="1601" spans="3:15" ht="13.5">
      <c r="C1601" s="1861" t="s">
        <v>5391</v>
      </c>
      <c r="D1601" s="1858">
        <v>1</v>
      </c>
      <c r="E1601" s="1858">
        <v>1</v>
      </c>
      <c r="F1601" s="1859">
        <v>2</v>
      </c>
      <c r="G1601" s="1872" t="s">
        <v>5391</v>
      </c>
      <c r="H1601" s="1856">
        <v>1</v>
      </c>
      <c r="I1601" s="1856">
        <v>1</v>
      </c>
      <c r="J1601" s="1873">
        <v>2</v>
      </c>
      <c r="K1601" s="1860"/>
      <c r="L1601" s="1854">
        <v>13139000204</v>
      </c>
      <c r="M1601" s="1855">
        <v>1</v>
      </c>
      <c r="N1601" s="1855">
        <v>1</v>
      </c>
      <c r="O1601" s="1856">
        <v>2</v>
      </c>
    </row>
    <row r="1602" spans="3:15" ht="13.5">
      <c r="C1602" s="1861" t="s">
        <v>5392</v>
      </c>
      <c r="D1602" s="1858">
        <v>1</v>
      </c>
      <c r="E1602" s="1858">
        <v>1</v>
      </c>
      <c r="F1602" s="1859">
        <v>2</v>
      </c>
      <c r="G1602" s="1872" t="s">
        <v>5392</v>
      </c>
      <c r="H1602" s="1856">
        <v>1</v>
      </c>
      <c r="I1602" s="1856">
        <v>0</v>
      </c>
      <c r="J1602" s="1873">
        <v>1</v>
      </c>
      <c r="K1602" s="1860"/>
      <c r="L1602" s="1854">
        <v>13139000302</v>
      </c>
      <c r="M1602" s="1855">
        <v>1</v>
      </c>
      <c r="N1602" s="1855">
        <v>1</v>
      </c>
      <c r="O1602" s="1856">
        <v>2</v>
      </c>
    </row>
    <row r="1603" spans="3:15" ht="13.5">
      <c r="C1603" s="1861" t="s">
        <v>5393</v>
      </c>
      <c r="D1603" s="1858">
        <v>1</v>
      </c>
      <c r="E1603" s="1858">
        <v>1</v>
      </c>
      <c r="F1603" s="1859">
        <v>2</v>
      </c>
      <c r="G1603" s="1872" t="s">
        <v>5393</v>
      </c>
      <c r="H1603" s="1856">
        <v>1</v>
      </c>
      <c r="I1603" s="1856">
        <v>1</v>
      </c>
      <c r="J1603" s="1873">
        <v>2</v>
      </c>
      <c r="K1603" s="1860"/>
      <c r="L1603" s="1854">
        <v>13139000303</v>
      </c>
      <c r="M1603" s="1855">
        <v>1</v>
      </c>
      <c r="N1603" s="1855">
        <v>1</v>
      </c>
      <c r="O1603" s="1856">
        <v>2</v>
      </c>
    </row>
    <row r="1604" spans="3:15" ht="13.5">
      <c r="C1604" s="1861" t="s">
        <v>5394</v>
      </c>
      <c r="D1604" s="1858">
        <v>1</v>
      </c>
      <c r="E1604" s="1858">
        <v>1</v>
      </c>
      <c r="F1604" s="1859">
        <v>2</v>
      </c>
      <c r="G1604" s="1872" t="s">
        <v>5394</v>
      </c>
      <c r="H1604" s="1856">
        <v>1</v>
      </c>
      <c r="I1604" s="1856">
        <v>1</v>
      </c>
      <c r="J1604" s="1873">
        <v>2</v>
      </c>
      <c r="K1604" s="1860"/>
      <c r="L1604" s="1854">
        <v>13139000304</v>
      </c>
      <c r="M1604" s="1855">
        <v>1</v>
      </c>
      <c r="N1604" s="1855">
        <v>1</v>
      </c>
      <c r="O1604" s="1856">
        <v>2</v>
      </c>
    </row>
    <row r="1605" spans="3:15" ht="13.5">
      <c r="C1605" s="1861" t="s">
        <v>5395</v>
      </c>
      <c r="D1605" s="1858">
        <v>1</v>
      </c>
      <c r="E1605" s="1858">
        <v>1</v>
      </c>
      <c r="F1605" s="1859">
        <v>2</v>
      </c>
      <c r="G1605" s="1872" t="s">
        <v>5395</v>
      </c>
      <c r="H1605" s="1856">
        <v>1</v>
      </c>
      <c r="I1605" s="1856">
        <v>1</v>
      </c>
      <c r="J1605" s="1873">
        <v>2</v>
      </c>
      <c r="K1605" s="1860"/>
      <c r="L1605" s="1854">
        <v>13139000305</v>
      </c>
      <c r="M1605" s="1855">
        <v>1</v>
      </c>
      <c r="N1605" s="1855">
        <v>1</v>
      </c>
      <c r="O1605" s="1856">
        <v>2</v>
      </c>
    </row>
    <row r="1606" spans="3:15" ht="13.5">
      <c r="C1606" s="1861" t="s">
        <v>5396</v>
      </c>
      <c r="D1606" s="1858">
        <v>1</v>
      </c>
      <c r="E1606" s="1858">
        <v>0</v>
      </c>
      <c r="F1606" s="1859">
        <v>1</v>
      </c>
      <c r="G1606" s="1872" t="s">
        <v>5396</v>
      </c>
      <c r="H1606" s="1856">
        <v>1</v>
      </c>
      <c r="I1606" s="1856">
        <v>1</v>
      </c>
      <c r="J1606" s="1873">
        <v>2</v>
      </c>
      <c r="K1606" s="1860"/>
      <c r="L1606" s="1854">
        <v>13139000400</v>
      </c>
      <c r="M1606" s="1855">
        <v>1</v>
      </c>
      <c r="N1606" s="1855">
        <v>1</v>
      </c>
      <c r="O1606" s="1856">
        <v>2</v>
      </c>
    </row>
    <row r="1607" spans="3:15" ht="13.5">
      <c r="C1607" s="1861" t="s">
        <v>5397</v>
      </c>
      <c r="D1607" s="1858">
        <v>1</v>
      </c>
      <c r="E1607" s="1858">
        <v>1</v>
      </c>
      <c r="F1607" s="1859">
        <v>2</v>
      </c>
      <c r="G1607" s="1872" t="s">
        <v>5397</v>
      </c>
      <c r="H1607" s="1856">
        <v>1</v>
      </c>
      <c r="I1607" s="1856">
        <v>1</v>
      </c>
      <c r="J1607" s="1873">
        <v>2</v>
      </c>
      <c r="K1607" s="1860"/>
      <c r="L1607" s="1854">
        <v>13139000500</v>
      </c>
      <c r="M1607" s="1855">
        <v>1</v>
      </c>
      <c r="N1607" s="1855">
        <v>1</v>
      </c>
      <c r="O1607" s="1856">
        <v>2</v>
      </c>
    </row>
    <row r="1608" spans="3:15" ht="13.5">
      <c r="C1608" s="1861" t="s">
        <v>5398</v>
      </c>
      <c r="D1608" s="1858">
        <v>0</v>
      </c>
      <c r="E1608" s="1858">
        <v>0</v>
      </c>
      <c r="F1608" s="1859">
        <v>0</v>
      </c>
      <c r="G1608" s="1872" t="s">
        <v>5398</v>
      </c>
      <c r="H1608" s="1856">
        <v>0</v>
      </c>
      <c r="I1608" s="1856">
        <v>0</v>
      </c>
      <c r="J1608" s="1873">
        <v>0</v>
      </c>
      <c r="K1608" s="1860"/>
      <c r="L1608" s="1854">
        <v>13139000600</v>
      </c>
      <c r="M1608" s="1855">
        <v>0</v>
      </c>
      <c r="N1608" s="1855">
        <v>0</v>
      </c>
      <c r="O1608" s="1856">
        <v>0</v>
      </c>
    </row>
    <row r="1609" spans="3:15" ht="13.5">
      <c r="C1609" s="1861" t="s">
        <v>5399</v>
      </c>
      <c r="D1609" s="1858">
        <v>0</v>
      </c>
      <c r="E1609" s="1858">
        <v>0</v>
      </c>
      <c r="F1609" s="1859">
        <v>0</v>
      </c>
      <c r="G1609" s="1872" t="s">
        <v>5399</v>
      </c>
      <c r="H1609" s="1856">
        <v>0</v>
      </c>
      <c r="I1609" s="1856">
        <v>0</v>
      </c>
      <c r="J1609" s="1873">
        <v>0</v>
      </c>
      <c r="K1609" s="1860"/>
      <c r="L1609" s="1854">
        <v>13139000701</v>
      </c>
      <c r="M1609" s="1855">
        <v>0</v>
      </c>
      <c r="N1609" s="1855">
        <v>0</v>
      </c>
      <c r="O1609" s="1856">
        <v>0</v>
      </c>
    </row>
    <row r="1610" spans="3:15" ht="13.5">
      <c r="C1610" s="1861" t="s">
        <v>5400</v>
      </c>
      <c r="D1610" s="1858">
        <v>0</v>
      </c>
      <c r="E1610" s="1858">
        <v>0</v>
      </c>
      <c r="F1610" s="1859">
        <v>0</v>
      </c>
      <c r="G1610" s="1872" t="s">
        <v>5400</v>
      </c>
      <c r="H1610" s="1856">
        <v>0</v>
      </c>
      <c r="I1610" s="1856">
        <v>0</v>
      </c>
      <c r="J1610" s="1873">
        <v>0</v>
      </c>
      <c r="K1610" s="1860"/>
      <c r="L1610" s="1854">
        <v>13139000702</v>
      </c>
      <c r="M1610" s="1855">
        <v>0</v>
      </c>
      <c r="N1610" s="1855">
        <v>0</v>
      </c>
      <c r="O1610" s="1856">
        <v>0</v>
      </c>
    </row>
    <row r="1611" spans="3:15" ht="13.5">
      <c r="C1611" s="1861" t="s">
        <v>5401</v>
      </c>
      <c r="D1611" s="1858">
        <v>0</v>
      </c>
      <c r="E1611" s="1858">
        <v>0</v>
      </c>
      <c r="F1611" s="1859">
        <v>0</v>
      </c>
      <c r="G1611" s="1872" t="s">
        <v>5401</v>
      </c>
      <c r="H1611" s="1856">
        <v>0</v>
      </c>
      <c r="I1611" s="1856">
        <v>0</v>
      </c>
      <c r="J1611" s="1873">
        <v>0</v>
      </c>
      <c r="K1611" s="1860"/>
      <c r="L1611" s="1854">
        <v>13139000800</v>
      </c>
      <c r="M1611" s="1855">
        <v>0</v>
      </c>
      <c r="N1611" s="1855">
        <v>0</v>
      </c>
      <c r="O1611" s="1856">
        <v>0</v>
      </c>
    </row>
    <row r="1612" spans="3:15" ht="13.5">
      <c r="C1612" s="1861" t="s">
        <v>5402</v>
      </c>
      <c r="D1612" s="1858">
        <v>1</v>
      </c>
      <c r="E1612" s="1858">
        <v>1</v>
      </c>
      <c r="F1612" s="1859">
        <v>2</v>
      </c>
      <c r="G1612" s="1872" t="s">
        <v>5402</v>
      </c>
      <c r="H1612" s="1856">
        <v>1</v>
      </c>
      <c r="I1612" s="1856">
        <v>1</v>
      </c>
      <c r="J1612" s="1873">
        <v>2</v>
      </c>
      <c r="K1612" s="1860"/>
      <c r="L1612" s="1854">
        <v>13139000900</v>
      </c>
      <c r="M1612" s="1855">
        <v>1</v>
      </c>
      <c r="N1612" s="1855">
        <v>1</v>
      </c>
      <c r="O1612" s="1856">
        <v>2</v>
      </c>
    </row>
    <row r="1613" spans="3:15" ht="13.5">
      <c r="C1613" s="1861" t="s">
        <v>5403</v>
      </c>
      <c r="D1613" s="1858">
        <v>1</v>
      </c>
      <c r="E1613" s="1858">
        <v>0</v>
      </c>
      <c r="F1613" s="1859">
        <v>1</v>
      </c>
      <c r="G1613" s="1872" t="s">
        <v>5403</v>
      </c>
      <c r="H1613" s="1856">
        <v>0</v>
      </c>
      <c r="I1613" s="1856">
        <v>1</v>
      </c>
      <c r="J1613" s="1873">
        <v>1</v>
      </c>
      <c r="K1613" s="1860"/>
      <c r="L1613" s="1854">
        <v>13139001002</v>
      </c>
      <c r="M1613" s="1855">
        <v>1</v>
      </c>
      <c r="N1613" s="1855">
        <v>1</v>
      </c>
      <c r="O1613" s="1856">
        <v>1</v>
      </c>
    </row>
    <row r="1614" spans="3:15" ht="13.5">
      <c r="C1614" s="1861" t="s">
        <v>5404</v>
      </c>
      <c r="D1614" s="1858">
        <v>0</v>
      </c>
      <c r="E1614" s="1858">
        <v>0</v>
      </c>
      <c r="F1614" s="1859">
        <v>0</v>
      </c>
      <c r="G1614" s="1872" t="s">
        <v>5404</v>
      </c>
      <c r="H1614" s="1856">
        <v>0</v>
      </c>
      <c r="I1614" s="1856">
        <v>0</v>
      </c>
      <c r="J1614" s="1873">
        <v>0</v>
      </c>
      <c r="K1614" s="1860"/>
      <c r="L1614" s="1854">
        <v>13139001003</v>
      </c>
      <c r="M1614" s="1855">
        <v>0</v>
      </c>
      <c r="N1614" s="1855">
        <v>0</v>
      </c>
      <c r="O1614" s="1856">
        <v>0</v>
      </c>
    </row>
    <row r="1615" spans="3:15" ht="13.5">
      <c r="C1615" s="1861" t="s">
        <v>5405</v>
      </c>
      <c r="D1615" s="1858">
        <v>1</v>
      </c>
      <c r="E1615" s="1858">
        <v>1</v>
      </c>
      <c r="F1615" s="1859">
        <v>2</v>
      </c>
      <c r="G1615" s="1872" t="s">
        <v>5405</v>
      </c>
      <c r="H1615" s="1856">
        <v>0</v>
      </c>
      <c r="I1615" s="1856">
        <v>0</v>
      </c>
      <c r="J1615" s="1873">
        <v>0</v>
      </c>
      <c r="K1615" s="1860"/>
      <c r="L1615" s="1854">
        <v>13139001004</v>
      </c>
      <c r="M1615" s="1855">
        <v>1</v>
      </c>
      <c r="N1615" s="1855">
        <v>1</v>
      </c>
      <c r="O1615" s="1856">
        <v>2</v>
      </c>
    </row>
    <row r="1616" spans="3:15" ht="13.5">
      <c r="C1616" s="1861" t="s">
        <v>5406</v>
      </c>
      <c r="D1616" s="1858">
        <v>0</v>
      </c>
      <c r="E1616" s="1858">
        <v>0</v>
      </c>
      <c r="F1616" s="1859">
        <v>0</v>
      </c>
      <c r="G1616" s="1872" t="s">
        <v>5406</v>
      </c>
      <c r="H1616" s="1856">
        <v>0</v>
      </c>
      <c r="I1616" s="1856" t="s">
        <v>3909</v>
      </c>
      <c r="J1616" s="1873">
        <v>0</v>
      </c>
      <c r="K1616" s="1860"/>
      <c r="L1616" s="1854">
        <v>13139001101</v>
      </c>
      <c r="M1616" s="1855">
        <v>0</v>
      </c>
      <c r="N1616" s="1855">
        <v>0</v>
      </c>
      <c r="O1616" s="1856">
        <v>0</v>
      </c>
    </row>
    <row r="1617" spans="3:15" ht="13.5">
      <c r="C1617" s="1861" t="s">
        <v>5407</v>
      </c>
      <c r="D1617" s="1858">
        <v>0</v>
      </c>
      <c r="E1617" s="1858">
        <v>0</v>
      </c>
      <c r="F1617" s="1859">
        <v>0</v>
      </c>
      <c r="G1617" s="1872" t="s">
        <v>5407</v>
      </c>
      <c r="H1617" s="1856">
        <v>1</v>
      </c>
      <c r="I1617" s="1856">
        <v>0</v>
      </c>
      <c r="J1617" s="1873">
        <v>1</v>
      </c>
      <c r="K1617" s="1860"/>
      <c r="L1617" s="1854">
        <v>13139001102</v>
      </c>
      <c r="M1617" s="1855">
        <v>1</v>
      </c>
      <c r="N1617" s="1855">
        <v>0</v>
      </c>
      <c r="O1617" s="1856">
        <v>1</v>
      </c>
    </row>
    <row r="1618" spans="3:15" ht="13.5">
      <c r="C1618" s="1861" t="s">
        <v>5408</v>
      </c>
      <c r="D1618" s="1858">
        <v>0</v>
      </c>
      <c r="E1618" s="1858">
        <v>0</v>
      </c>
      <c r="F1618" s="1859">
        <v>0</v>
      </c>
      <c r="G1618" s="1872" t="s">
        <v>5408</v>
      </c>
      <c r="H1618" s="1856">
        <v>0</v>
      </c>
      <c r="I1618" s="1856">
        <v>0</v>
      </c>
      <c r="J1618" s="1873">
        <v>0</v>
      </c>
      <c r="K1618" s="1860"/>
      <c r="L1618" s="1854">
        <v>13139001201</v>
      </c>
      <c r="M1618" s="1855">
        <v>0</v>
      </c>
      <c r="N1618" s="1855">
        <v>0</v>
      </c>
      <c r="O1618" s="1856">
        <v>0</v>
      </c>
    </row>
    <row r="1619" spans="3:15" ht="13.5">
      <c r="C1619" s="1861" t="s">
        <v>5409</v>
      </c>
      <c r="D1619" s="1858">
        <v>1</v>
      </c>
      <c r="E1619" s="1858">
        <v>0</v>
      </c>
      <c r="F1619" s="1859">
        <v>1</v>
      </c>
      <c r="G1619" s="1872" t="s">
        <v>5409</v>
      </c>
      <c r="H1619" s="1856">
        <v>0</v>
      </c>
      <c r="I1619" s="1856">
        <v>0</v>
      </c>
      <c r="J1619" s="1873">
        <v>0</v>
      </c>
      <c r="K1619" s="1860"/>
      <c r="L1619" s="1854">
        <v>13139001202</v>
      </c>
      <c r="M1619" s="1855">
        <v>1</v>
      </c>
      <c r="N1619" s="1855">
        <v>0</v>
      </c>
      <c r="O1619" s="1856">
        <v>1</v>
      </c>
    </row>
    <row r="1620" spans="3:15" ht="13.5">
      <c r="C1620" s="1861" t="s">
        <v>5410</v>
      </c>
      <c r="D1620" s="1858">
        <v>1</v>
      </c>
      <c r="E1620" s="1858">
        <v>1</v>
      </c>
      <c r="F1620" s="1859">
        <v>2</v>
      </c>
      <c r="G1620" s="1872" t="s">
        <v>5410</v>
      </c>
      <c r="H1620" s="1856">
        <v>1</v>
      </c>
      <c r="I1620" s="1856">
        <v>0</v>
      </c>
      <c r="J1620" s="1873">
        <v>1</v>
      </c>
      <c r="K1620" s="1860"/>
      <c r="L1620" s="1854">
        <v>13139001301</v>
      </c>
      <c r="M1620" s="1855">
        <v>1</v>
      </c>
      <c r="N1620" s="1855">
        <v>1</v>
      </c>
      <c r="O1620" s="1856">
        <v>2</v>
      </c>
    </row>
    <row r="1621" spans="3:15" ht="13.5">
      <c r="C1621" s="1861" t="s">
        <v>5411</v>
      </c>
      <c r="D1621" s="1858">
        <v>1</v>
      </c>
      <c r="E1621" s="1858">
        <v>1</v>
      </c>
      <c r="F1621" s="1859">
        <v>2</v>
      </c>
      <c r="G1621" s="1872" t="s">
        <v>5411</v>
      </c>
      <c r="H1621" s="1856">
        <v>1</v>
      </c>
      <c r="I1621" s="1856">
        <v>1</v>
      </c>
      <c r="J1621" s="1873">
        <v>2</v>
      </c>
      <c r="K1621" s="1860"/>
      <c r="L1621" s="1854">
        <v>13139001302</v>
      </c>
      <c r="M1621" s="1855">
        <v>1</v>
      </c>
      <c r="N1621" s="1855">
        <v>1</v>
      </c>
      <c r="O1621" s="1856">
        <v>2</v>
      </c>
    </row>
    <row r="1622" spans="3:15" ht="13.5">
      <c r="C1622" s="1861" t="s">
        <v>5412</v>
      </c>
      <c r="D1622" s="1858">
        <v>1</v>
      </c>
      <c r="E1622" s="1858">
        <v>1</v>
      </c>
      <c r="F1622" s="1859">
        <v>2</v>
      </c>
      <c r="G1622" s="1872" t="s">
        <v>5412</v>
      </c>
      <c r="H1622" s="1856">
        <v>1</v>
      </c>
      <c r="I1622" s="1856">
        <v>0</v>
      </c>
      <c r="J1622" s="1873">
        <v>1</v>
      </c>
      <c r="K1622" s="1860"/>
      <c r="L1622" s="1854">
        <v>13139001402</v>
      </c>
      <c r="M1622" s="1855">
        <v>1</v>
      </c>
      <c r="N1622" s="1855">
        <v>1</v>
      </c>
      <c r="O1622" s="1856">
        <v>2</v>
      </c>
    </row>
    <row r="1623" spans="3:15" ht="13.5">
      <c r="C1623" s="1861" t="s">
        <v>5413</v>
      </c>
      <c r="D1623" s="1858">
        <v>0</v>
      </c>
      <c r="E1623" s="1858">
        <v>0</v>
      </c>
      <c r="F1623" s="1859">
        <v>0</v>
      </c>
      <c r="G1623" s="1872" t="s">
        <v>5413</v>
      </c>
      <c r="H1623" s="1856">
        <v>0</v>
      </c>
      <c r="I1623" s="1856">
        <v>0</v>
      </c>
      <c r="J1623" s="1873">
        <v>0</v>
      </c>
      <c r="K1623" s="1860"/>
      <c r="L1623" s="1854">
        <v>13139001403</v>
      </c>
      <c r="M1623" s="1855">
        <v>0</v>
      </c>
      <c r="N1623" s="1855">
        <v>0</v>
      </c>
      <c r="O1623" s="1856">
        <v>0</v>
      </c>
    </row>
    <row r="1624" spans="3:15" ht="13.5">
      <c r="C1624" s="1861" t="s">
        <v>5414</v>
      </c>
      <c r="D1624" s="1858">
        <v>1</v>
      </c>
      <c r="E1624" s="1858">
        <v>0</v>
      </c>
      <c r="F1624" s="1859">
        <v>1</v>
      </c>
      <c r="G1624" s="1872" t="s">
        <v>5414</v>
      </c>
      <c r="H1624" s="1856">
        <v>1</v>
      </c>
      <c r="I1624" s="1856">
        <v>0</v>
      </c>
      <c r="J1624" s="1873">
        <v>1</v>
      </c>
      <c r="K1624" s="1860"/>
      <c r="L1624" s="1854">
        <v>13139001404</v>
      </c>
      <c r="M1624" s="1855">
        <v>1</v>
      </c>
      <c r="N1624" s="1855">
        <v>0</v>
      </c>
      <c r="O1624" s="1856">
        <v>1</v>
      </c>
    </row>
    <row r="1625" spans="3:15" ht="13.5">
      <c r="C1625" s="1861" t="s">
        <v>5415</v>
      </c>
      <c r="D1625" s="1858">
        <v>1</v>
      </c>
      <c r="E1625" s="1858">
        <v>1</v>
      </c>
      <c r="F1625" s="1859">
        <v>2</v>
      </c>
      <c r="G1625" s="1872" t="s">
        <v>5415</v>
      </c>
      <c r="H1625" s="1856">
        <v>1</v>
      </c>
      <c r="I1625" s="1856">
        <v>1</v>
      </c>
      <c r="J1625" s="1873">
        <v>2</v>
      </c>
      <c r="K1625" s="1860"/>
      <c r="L1625" s="1854">
        <v>13139001501</v>
      </c>
      <c r="M1625" s="1855">
        <v>1</v>
      </c>
      <c r="N1625" s="1855">
        <v>1</v>
      </c>
      <c r="O1625" s="1856">
        <v>2</v>
      </c>
    </row>
    <row r="1626" spans="3:15" ht="13.5">
      <c r="C1626" s="1861" t="s">
        <v>5416</v>
      </c>
      <c r="D1626" s="1858">
        <v>1</v>
      </c>
      <c r="E1626" s="1858">
        <v>1</v>
      </c>
      <c r="F1626" s="1859">
        <v>2</v>
      </c>
      <c r="G1626" s="1872" t="s">
        <v>5416</v>
      </c>
      <c r="H1626" s="1856">
        <v>1</v>
      </c>
      <c r="I1626" s="1856">
        <v>1</v>
      </c>
      <c r="J1626" s="1873">
        <v>2</v>
      </c>
      <c r="K1626" s="1860"/>
      <c r="L1626" s="1854">
        <v>13139001502</v>
      </c>
      <c r="M1626" s="1855">
        <v>1</v>
      </c>
      <c r="N1626" s="1855">
        <v>1</v>
      </c>
      <c r="O1626" s="1856">
        <v>2</v>
      </c>
    </row>
    <row r="1627" spans="3:15" ht="13.5">
      <c r="C1627" s="1861" t="s">
        <v>5417</v>
      </c>
      <c r="D1627" s="1858">
        <v>1</v>
      </c>
      <c r="E1627" s="1858">
        <v>1</v>
      </c>
      <c r="F1627" s="1859">
        <v>2</v>
      </c>
      <c r="G1627" s="1872" t="s">
        <v>5417</v>
      </c>
      <c r="H1627" s="1856">
        <v>1</v>
      </c>
      <c r="I1627" s="1856">
        <v>0</v>
      </c>
      <c r="J1627" s="1873">
        <v>1</v>
      </c>
      <c r="K1627" s="1860"/>
      <c r="L1627" s="1854">
        <v>13139001603</v>
      </c>
      <c r="M1627" s="1855">
        <v>1</v>
      </c>
      <c r="N1627" s="1855">
        <v>1</v>
      </c>
      <c r="O1627" s="1856">
        <v>2</v>
      </c>
    </row>
    <row r="1628" spans="3:15" ht="13.5">
      <c r="C1628" s="1861" t="s">
        <v>5418</v>
      </c>
      <c r="D1628" s="1858">
        <v>1</v>
      </c>
      <c r="E1628" s="1858">
        <v>1</v>
      </c>
      <c r="F1628" s="1859">
        <v>2</v>
      </c>
      <c r="G1628" s="1872" t="s">
        <v>5418</v>
      </c>
      <c r="H1628" s="1856">
        <v>1</v>
      </c>
      <c r="I1628" s="1856">
        <v>1</v>
      </c>
      <c r="J1628" s="1873">
        <v>2</v>
      </c>
      <c r="K1628" s="1860"/>
      <c r="L1628" s="1854">
        <v>13139001604</v>
      </c>
      <c r="M1628" s="1855">
        <v>1</v>
      </c>
      <c r="N1628" s="1855">
        <v>1</v>
      </c>
      <c r="O1628" s="1856">
        <v>2</v>
      </c>
    </row>
    <row r="1629" spans="3:15" ht="13.5">
      <c r="C1629" s="1861" t="s">
        <v>5419</v>
      </c>
      <c r="D1629" s="1858">
        <v>1</v>
      </c>
      <c r="E1629" s="1858">
        <v>1</v>
      </c>
      <c r="F1629" s="1859">
        <v>2</v>
      </c>
      <c r="G1629" s="1872" t="s">
        <v>5419</v>
      </c>
      <c r="H1629" s="1856">
        <v>1</v>
      </c>
      <c r="I1629" s="1856" t="s">
        <v>3909</v>
      </c>
      <c r="J1629" s="1873">
        <v>1</v>
      </c>
      <c r="K1629" s="1860"/>
      <c r="L1629" s="1854">
        <v>13139001605</v>
      </c>
      <c r="M1629" s="1855">
        <v>1</v>
      </c>
      <c r="N1629" s="1855">
        <v>1</v>
      </c>
      <c r="O1629" s="1856">
        <v>2</v>
      </c>
    </row>
    <row r="1630" spans="3:15" ht="13.5">
      <c r="C1630" s="1861" t="s">
        <v>5420</v>
      </c>
      <c r="D1630" s="1858">
        <v>1</v>
      </c>
      <c r="E1630" s="1858">
        <v>1</v>
      </c>
      <c r="F1630" s="1859">
        <v>2</v>
      </c>
      <c r="G1630" s="1872" t="s">
        <v>5420</v>
      </c>
      <c r="H1630" s="1856">
        <v>1</v>
      </c>
      <c r="I1630" s="1856">
        <v>1</v>
      </c>
      <c r="J1630" s="1873">
        <v>2</v>
      </c>
      <c r="K1630" s="1860"/>
      <c r="L1630" s="1854">
        <v>13139001606</v>
      </c>
      <c r="M1630" s="1855">
        <v>1</v>
      </c>
      <c r="N1630" s="1855">
        <v>1</v>
      </c>
      <c r="O1630" s="1856">
        <v>2</v>
      </c>
    </row>
    <row r="1631" spans="3:15" ht="13.5">
      <c r="C1631" s="1861" t="s">
        <v>5421</v>
      </c>
      <c r="D1631" s="1858">
        <v>0</v>
      </c>
      <c r="E1631" s="1858">
        <v>1</v>
      </c>
      <c r="F1631" s="1859">
        <v>1</v>
      </c>
      <c r="G1631" s="1872" t="s">
        <v>5421</v>
      </c>
      <c r="H1631" s="1856">
        <v>1</v>
      </c>
      <c r="I1631" s="1856">
        <v>1</v>
      </c>
      <c r="J1631" s="1873">
        <v>2</v>
      </c>
      <c r="K1631" s="1860"/>
      <c r="L1631" s="1854">
        <v>13139001607</v>
      </c>
      <c r="M1631" s="1855">
        <v>1</v>
      </c>
      <c r="N1631" s="1855">
        <v>1</v>
      </c>
      <c r="O1631" s="1856">
        <v>2</v>
      </c>
    </row>
    <row r="1632" spans="3:15" ht="13.5">
      <c r="C1632" s="1861" t="s">
        <v>5422</v>
      </c>
      <c r="D1632" s="1858">
        <v>1</v>
      </c>
      <c r="E1632" s="1858">
        <v>1</v>
      </c>
      <c r="F1632" s="1859">
        <v>2</v>
      </c>
      <c r="G1632" s="1872" t="s">
        <v>5422</v>
      </c>
      <c r="H1632" s="1856">
        <v>1</v>
      </c>
      <c r="I1632" s="1856">
        <v>1</v>
      </c>
      <c r="J1632" s="1873">
        <v>2</v>
      </c>
      <c r="K1632" s="1860"/>
      <c r="L1632" s="1854">
        <v>13139001608</v>
      </c>
      <c r="M1632" s="1855">
        <v>1</v>
      </c>
      <c r="N1632" s="1855">
        <v>1</v>
      </c>
      <c r="O1632" s="1856">
        <v>2</v>
      </c>
    </row>
    <row r="1633" spans="3:15" ht="13.5">
      <c r="C1633" s="1861" t="s">
        <v>5423</v>
      </c>
      <c r="D1633" s="1858">
        <v>0</v>
      </c>
      <c r="E1633" s="1858">
        <v>0</v>
      </c>
      <c r="F1633" s="1859">
        <v>0</v>
      </c>
      <c r="G1633" s="1872" t="s">
        <v>5423</v>
      </c>
      <c r="H1633" s="1856">
        <v>0</v>
      </c>
      <c r="I1633" s="1856">
        <v>1</v>
      </c>
      <c r="J1633" s="1873">
        <v>1</v>
      </c>
      <c r="K1633" s="1860"/>
      <c r="L1633" s="1854">
        <v>13141480300</v>
      </c>
      <c r="M1633" s="1855">
        <v>0</v>
      </c>
      <c r="N1633" s="1855">
        <v>1</v>
      </c>
      <c r="O1633" s="1856">
        <v>1</v>
      </c>
    </row>
    <row r="1634" spans="3:15" ht="13.5">
      <c r="C1634" s="1861" t="s">
        <v>5424</v>
      </c>
      <c r="D1634" s="1858">
        <v>0</v>
      </c>
      <c r="E1634" s="1858">
        <v>0</v>
      </c>
      <c r="F1634" s="1859">
        <v>0</v>
      </c>
      <c r="G1634" s="1872" t="s">
        <v>5424</v>
      </c>
      <c r="H1634" s="1856">
        <v>0</v>
      </c>
      <c r="I1634" s="1856">
        <v>1</v>
      </c>
      <c r="J1634" s="1873">
        <v>1</v>
      </c>
      <c r="K1634" s="1860"/>
      <c r="L1634" s="1854">
        <v>13141480400</v>
      </c>
      <c r="M1634" s="1855">
        <v>0</v>
      </c>
      <c r="N1634" s="1855">
        <v>1</v>
      </c>
      <c r="O1634" s="1856">
        <v>1</v>
      </c>
    </row>
    <row r="1635" spans="3:15" ht="13.5">
      <c r="C1635" s="1861" t="s">
        <v>5425</v>
      </c>
      <c r="D1635" s="1858">
        <v>0</v>
      </c>
      <c r="E1635" s="1858">
        <v>0</v>
      </c>
      <c r="F1635" s="1859">
        <v>0</v>
      </c>
      <c r="G1635" s="1872" t="s">
        <v>5425</v>
      </c>
      <c r="H1635" s="1856">
        <v>0</v>
      </c>
      <c r="I1635" s="1856">
        <v>0</v>
      </c>
      <c r="J1635" s="1873">
        <v>0</v>
      </c>
      <c r="K1635" s="1860"/>
      <c r="L1635" s="1854">
        <v>13143010100</v>
      </c>
      <c r="M1635" s="1855">
        <v>0</v>
      </c>
      <c r="N1635" s="1855">
        <v>0</v>
      </c>
      <c r="O1635" s="1856">
        <v>0</v>
      </c>
    </row>
    <row r="1636" spans="3:15" ht="13.5">
      <c r="C1636" s="1861" t="s">
        <v>5426</v>
      </c>
      <c r="D1636" s="1858">
        <v>0</v>
      </c>
      <c r="E1636" s="1858">
        <v>1</v>
      </c>
      <c r="F1636" s="1859">
        <v>1</v>
      </c>
      <c r="G1636" s="1872" t="s">
        <v>5426</v>
      </c>
      <c r="H1636" s="1856">
        <v>0</v>
      </c>
      <c r="I1636" s="1856">
        <v>0</v>
      </c>
      <c r="J1636" s="1873">
        <v>0</v>
      </c>
      <c r="K1636" s="1860"/>
      <c r="L1636" s="1854">
        <v>13143010200</v>
      </c>
      <c r="M1636" s="1855">
        <v>0</v>
      </c>
      <c r="N1636" s="1855">
        <v>1</v>
      </c>
      <c r="O1636" s="1856">
        <v>1</v>
      </c>
    </row>
    <row r="1637" spans="3:15" ht="13.5">
      <c r="C1637" s="1861" t="s">
        <v>5427</v>
      </c>
      <c r="D1637" s="1858">
        <v>0</v>
      </c>
      <c r="E1637" s="1858">
        <v>0</v>
      </c>
      <c r="F1637" s="1859">
        <v>0</v>
      </c>
      <c r="G1637" s="1872" t="s">
        <v>5427</v>
      </c>
      <c r="H1637" s="1856">
        <v>0</v>
      </c>
      <c r="I1637" s="1856">
        <v>0</v>
      </c>
      <c r="J1637" s="1873">
        <v>0</v>
      </c>
      <c r="K1637" s="1860"/>
      <c r="L1637" s="1854">
        <v>13143010301</v>
      </c>
      <c r="M1637" s="1855">
        <v>0</v>
      </c>
      <c r="N1637" s="1855">
        <v>0</v>
      </c>
      <c r="O1637" s="1856">
        <v>0</v>
      </c>
    </row>
    <row r="1638" spans="3:15" ht="13.5">
      <c r="C1638" s="1861" t="s">
        <v>5428</v>
      </c>
      <c r="D1638" s="1858">
        <v>0</v>
      </c>
      <c r="E1638" s="1858">
        <v>0</v>
      </c>
      <c r="F1638" s="1859">
        <v>0</v>
      </c>
      <c r="G1638" s="1872" t="s">
        <v>5428</v>
      </c>
      <c r="H1638" s="1856">
        <v>1</v>
      </c>
      <c r="I1638" s="1856">
        <v>0</v>
      </c>
      <c r="J1638" s="1873">
        <v>1</v>
      </c>
      <c r="K1638" s="1860"/>
      <c r="L1638" s="1854">
        <v>13143010302</v>
      </c>
      <c r="M1638" s="1855">
        <v>1</v>
      </c>
      <c r="N1638" s="1855">
        <v>0</v>
      </c>
      <c r="O1638" s="1856">
        <v>1</v>
      </c>
    </row>
    <row r="1639" spans="3:15" ht="13.5">
      <c r="C1639" s="1861" t="s">
        <v>5429</v>
      </c>
      <c r="D1639" s="1858">
        <v>0</v>
      </c>
      <c r="E1639" s="1858">
        <v>0</v>
      </c>
      <c r="F1639" s="1859">
        <v>0</v>
      </c>
      <c r="G1639" s="1872" t="s">
        <v>5429</v>
      </c>
      <c r="H1639" s="1856">
        <v>0</v>
      </c>
      <c r="I1639" s="1856">
        <v>0</v>
      </c>
      <c r="J1639" s="1873">
        <v>0</v>
      </c>
      <c r="K1639" s="1860"/>
      <c r="L1639" s="1854">
        <v>13143010400</v>
      </c>
      <c r="M1639" s="1855">
        <v>0</v>
      </c>
      <c r="N1639" s="1855">
        <v>0</v>
      </c>
      <c r="O1639" s="1856">
        <v>0</v>
      </c>
    </row>
    <row r="1640" spans="3:15" ht="13.5">
      <c r="C1640" s="1861" t="s">
        <v>5430</v>
      </c>
      <c r="D1640" s="1858">
        <v>0</v>
      </c>
      <c r="E1640" s="1858">
        <v>0</v>
      </c>
      <c r="F1640" s="1859">
        <v>0</v>
      </c>
      <c r="G1640" s="1872" t="s">
        <v>5430</v>
      </c>
      <c r="H1640" s="1856">
        <v>0</v>
      </c>
      <c r="I1640" s="1856">
        <v>1</v>
      </c>
      <c r="J1640" s="1873">
        <v>1</v>
      </c>
      <c r="K1640" s="1860"/>
      <c r="L1640" s="1854">
        <v>13145120198</v>
      </c>
      <c r="M1640" s="1855">
        <v>0</v>
      </c>
      <c r="N1640" s="1855">
        <v>1</v>
      </c>
      <c r="O1640" s="1856">
        <v>1</v>
      </c>
    </row>
    <row r="1641" spans="3:15" ht="13.5">
      <c r="C1641" s="1861" t="s">
        <v>5431</v>
      </c>
      <c r="D1641" s="1858">
        <v>0</v>
      </c>
      <c r="E1641" s="1858">
        <v>1</v>
      </c>
      <c r="F1641" s="1859">
        <v>1</v>
      </c>
      <c r="G1641" s="1872" t="s">
        <v>5431</v>
      </c>
      <c r="H1641" s="1856">
        <v>0</v>
      </c>
      <c r="I1641" s="1856" t="s">
        <v>3909</v>
      </c>
      <c r="J1641" s="1873">
        <v>0</v>
      </c>
      <c r="K1641" s="1860"/>
      <c r="L1641" s="1854">
        <v>13145120200</v>
      </c>
      <c r="M1641" s="1855">
        <v>0</v>
      </c>
      <c r="N1641" s="1855">
        <v>1</v>
      </c>
      <c r="O1641" s="1856">
        <v>1</v>
      </c>
    </row>
    <row r="1642" spans="3:15" ht="13.5">
      <c r="C1642" s="1861" t="s">
        <v>5432</v>
      </c>
      <c r="D1642" s="1858">
        <v>1</v>
      </c>
      <c r="E1642" s="1858">
        <v>1</v>
      </c>
      <c r="F1642" s="1859">
        <v>2</v>
      </c>
      <c r="G1642" s="1872" t="s">
        <v>5432</v>
      </c>
      <c r="H1642" s="1856">
        <v>1</v>
      </c>
      <c r="I1642" s="1856">
        <v>1</v>
      </c>
      <c r="J1642" s="1873">
        <v>2</v>
      </c>
      <c r="K1642" s="1860"/>
      <c r="L1642" s="1854">
        <v>13145120300</v>
      </c>
      <c r="M1642" s="1855">
        <v>1</v>
      </c>
      <c r="N1642" s="1855">
        <v>1</v>
      </c>
      <c r="O1642" s="1856">
        <v>2</v>
      </c>
    </row>
    <row r="1643" spans="3:15" ht="13.5">
      <c r="C1643" s="1861" t="s">
        <v>5433</v>
      </c>
      <c r="D1643" s="1858">
        <v>1</v>
      </c>
      <c r="E1643" s="1858">
        <v>1</v>
      </c>
      <c r="F1643" s="1859">
        <v>2</v>
      </c>
      <c r="G1643" s="1872" t="s">
        <v>5433</v>
      </c>
      <c r="H1643" s="1856">
        <v>1</v>
      </c>
      <c r="I1643" s="1856">
        <v>1</v>
      </c>
      <c r="J1643" s="1873">
        <v>2</v>
      </c>
      <c r="K1643" s="1860"/>
      <c r="L1643" s="1854">
        <v>13145120401</v>
      </c>
      <c r="M1643" s="1855">
        <v>1</v>
      </c>
      <c r="N1643" s="1855">
        <v>1</v>
      </c>
      <c r="O1643" s="1856">
        <v>2</v>
      </c>
    </row>
    <row r="1644" spans="3:15" ht="13.5">
      <c r="C1644" s="1861" t="s">
        <v>5434</v>
      </c>
      <c r="D1644" s="1858">
        <v>1</v>
      </c>
      <c r="E1644" s="1858">
        <v>1</v>
      </c>
      <c r="F1644" s="1859">
        <v>2</v>
      </c>
      <c r="G1644" s="1872" t="s">
        <v>5434</v>
      </c>
      <c r="H1644" s="1856">
        <v>0</v>
      </c>
      <c r="I1644" s="1856">
        <v>1</v>
      </c>
      <c r="J1644" s="1873">
        <v>1</v>
      </c>
      <c r="K1644" s="1860"/>
      <c r="L1644" s="1854">
        <v>13145120402</v>
      </c>
      <c r="M1644" s="1855">
        <v>1</v>
      </c>
      <c r="N1644" s="1855">
        <v>1</v>
      </c>
      <c r="O1644" s="1856">
        <v>2</v>
      </c>
    </row>
    <row r="1645" spans="3:15" ht="13.5">
      <c r="C1645" s="1861" t="s">
        <v>5435</v>
      </c>
      <c r="D1645" s="1858">
        <v>0</v>
      </c>
      <c r="E1645" s="1858">
        <v>1</v>
      </c>
      <c r="F1645" s="1859">
        <v>1</v>
      </c>
      <c r="G1645" s="1872" t="s">
        <v>5435</v>
      </c>
      <c r="H1645" s="1856">
        <v>0</v>
      </c>
      <c r="I1645" s="1856">
        <v>1</v>
      </c>
      <c r="J1645" s="1873">
        <v>1</v>
      </c>
      <c r="K1645" s="1860"/>
      <c r="L1645" s="1854">
        <v>13147960100</v>
      </c>
      <c r="M1645" s="1855">
        <v>0</v>
      </c>
      <c r="N1645" s="1855">
        <v>1</v>
      </c>
      <c r="O1645" s="1856">
        <v>1</v>
      </c>
    </row>
    <row r="1646" spans="3:15" ht="13.5">
      <c r="C1646" s="1861" t="s">
        <v>5436</v>
      </c>
      <c r="D1646" s="1858">
        <v>1</v>
      </c>
      <c r="E1646" s="1858">
        <v>1</v>
      </c>
      <c r="F1646" s="1859">
        <v>2</v>
      </c>
      <c r="G1646" s="1872" t="s">
        <v>5436</v>
      </c>
      <c r="H1646" s="1856">
        <v>0</v>
      </c>
      <c r="I1646" s="1856">
        <v>1</v>
      </c>
      <c r="J1646" s="1873">
        <v>1</v>
      </c>
      <c r="K1646" s="1860"/>
      <c r="L1646" s="1854">
        <v>13147960200</v>
      </c>
      <c r="M1646" s="1855">
        <v>1</v>
      </c>
      <c r="N1646" s="1855">
        <v>1</v>
      </c>
      <c r="O1646" s="1856">
        <v>2</v>
      </c>
    </row>
    <row r="1647" spans="3:15" ht="13.5">
      <c r="C1647" s="1861" t="s">
        <v>5437</v>
      </c>
      <c r="D1647" s="1858">
        <v>0</v>
      </c>
      <c r="E1647" s="1858">
        <v>0</v>
      </c>
      <c r="F1647" s="1859">
        <v>0</v>
      </c>
      <c r="G1647" s="1872" t="s">
        <v>5437</v>
      </c>
      <c r="H1647" s="1856">
        <v>0</v>
      </c>
      <c r="I1647" s="1856">
        <v>0</v>
      </c>
      <c r="J1647" s="1873">
        <v>0</v>
      </c>
      <c r="K1647" s="1860"/>
      <c r="L1647" s="1854">
        <v>13147960300</v>
      </c>
      <c r="M1647" s="1855">
        <v>0</v>
      </c>
      <c r="N1647" s="1855">
        <v>0</v>
      </c>
      <c r="O1647" s="1856">
        <v>0</v>
      </c>
    </row>
    <row r="1648" spans="3:15" ht="13.5">
      <c r="C1648" s="1861" t="s">
        <v>5438</v>
      </c>
      <c r="D1648" s="1858">
        <v>0</v>
      </c>
      <c r="E1648" s="1858">
        <v>0</v>
      </c>
      <c r="F1648" s="1859">
        <v>0</v>
      </c>
      <c r="G1648" s="1872" t="s">
        <v>5438</v>
      </c>
      <c r="H1648" s="1856">
        <v>0</v>
      </c>
      <c r="I1648" s="1856">
        <v>0</v>
      </c>
      <c r="J1648" s="1873">
        <v>0</v>
      </c>
      <c r="K1648" s="1860"/>
      <c r="L1648" s="1854">
        <v>13147960400</v>
      </c>
      <c r="M1648" s="1855">
        <v>0</v>
      </c>
      <c r="N1648" s="1855">
        <v>0</v>
      </c>
      <c r="O1648" s="1856">
        <v>0</v>
      </c>
    </row>
    <row r="1649" spans="3:15" ht="13.5">
      <c r="C1649" s="1861" t="s">
        <v>5439</v>
      </c>
      <c r="D1649" s="1858">
        <v>0</v>
      </c>
      <c r="E1649" s="1858">
        <v>0</v>
      </c>
      <c r="F1649" s="1859">
        <v>0</v>
      </c>
      <c r="G1649" s="1872" t="s">
        <v>5439</v>
      </c>
      <c r="H1649" s="1856">
        <v>0</v>
      </c>
      <c r="I1649" s="1856">
        <v>1</v>
      </c>
      <c r="J1649" s="1873">
        <v>1</v>
      </c>
      <c r="K1649" s="1860"/>
      <c r="L1649" s="1854">
        <v>13147960500</v>
      </c>
      <c r="M1649" s="1855">
        <v>0</v>
      </c>
      <c r="N1649" s="1855">
        <v>1</v>
      </c>
      <c r="O1649" s="1856">
        <v>1</v>
      </c>
    </row>
    <row r="1650" spans="3:15" ht="13.5">
      <c r="C1650" s="1861" t="s">
        <v>5440</v>
      </c>
      <c r="D1650" s="1858">
        <v>0</v>
      </c>
      <c r="E1650" s="1858">
        <v>0</v>
      </c>
      <c r="F1650" s="1859">
        <v>0</v>
      </c>
      <c r="G1650" s="1872" t="s">
        <v>5440</v>
      </c>
      <c r="H1650" s="1856">
        <v>0</v>
      </c>
      <c r="I1650" s="1856">
        <v>0</v>
      </c>
      <c r="J1650" s="1873">
        <v>0</v>
      </c>
      <c r="K1650" s="1860"/>
      <c r="L1650" s="1854">
        <v>13149970100</v>
      </c>
      <c r="M1650" s="1855">
        <v>0</v>
      </c>
      <c r="N1650" s="1855">
        <v>0</v>
      </c>
      <c r="O1650" s="1856">
        <v>0</v>
      </c>
    </row>
    <row r="1651" spans="3:15" ht="13.5">
      <c r="C1651" s="1861" t="s">
        <v>5441</v>
      </c>
      <c r="D1651" s="1858">
        <v>0</v>
      </c>
      <c r="E1651" s="1858">
        <v>1</v>
      </c>
      <c r="F1651" s="1859">
        <v>1</v>
      </c>
      <c r="G1651" s="1872" t="s">
        <v>5441</v>
      </c>
      <c r="H1651" s="1856">
        <v>0</v>
      </c>
      <c r="I1651" s="1856">
        <v>1</v>
      </c>
      <c r="J1651" s="1873">
        <v>1</v>
      </c>
      <c r="K1651" s="1860"/>
      <c r="L1651" s="1854">
        <v>13149970200</v>
      </c>
      <c r="M1651" s="1855">
        <v>0</v>
      </c>
      <c r="N1651" s="1855">
        <v>1</v>
      </c>
      <c r="O1651" s="1856">
        <v>1</v>
      </c>
    </row>
    <row r="1652" spans="3:15" ht="13.5">
      <c r="C1652" s="1861" t="s">
        <v>5442</v>
      </c>
      <c r="D1652" s="1858">
        <v>0</v>
      </c>
      <c r="E1652" s="1858">
        <v>0</v>
      </c>
      <c r="F1652" s="1859">
        <v>0</v>
      </c>
      <c r="G1652" s="1872" t="s">
        <v>5442</v>
      </c>
      <c r="H1652" s="1856">
        <v>1</v>
      </c>
      <c r="I1652" s="1856">
        <v>0</v>
      </c>
      <c r="J1652" s="1873">
        <v>1</v>
      </c>
      <c r="K1652" s="1860"/>
      <c r="L1652" s="1854">
        <v>13149970300</v>
      </c>
      <c r="M1652" s="1855">
        <v>1</v>
      </c>
      <c r="N1652" s="1855">
        <v>0</v>
      </c>
      <c r="O1652" s="1856">
        <v>1</v>
      </c>
    </row>
    <row r="1653" spans="3:15" ht="13.5">
      <c r="C1653" s="1861" t="s">
        <v>5443</v>
      </c>
      <c r="D1653" s="1858">
        <v>1</v>
      </c>
      <c r="E1653" s="1858">
        <v>1</v>
      </c>
      <c r="F1653" s="1859">
        <v>2</v>
      </c>
      <c r="G1653" s="1872" t="s">
        <v>5443</v>
      </c>
      <c r="H1653" s="1856">
        <v>1</v>
      </c>
      <c r="I1653" s="1856">
        <v>1</v>
      </c>
      <c r="J1653" s="1873">
        <v>2</v>
      </c>
      <c r="K1653" s="1860"/>
      <c r="L1653" s="1854">
        <v>13151070104</v>
      </c>
      <c r="M1653" s="1855">
        <v>1</v>
      </c>
      <c r="N1653" s="1855">
        <v>1</v>
      </c>
      <c r="O1653" s="1856">
        <v>2</v>
      </c>
    </row>
    <row r="1654" spans="3:15" ht="13.5">
      <c r="C1654" s="1861" t="s">
        <v>5444</v>
      </c>
      <c r="D1654" s="1858">
        <v>0</v>
      </c>
      <c r="E1654" s="1858">
        <v>0</v>
      </c>
      <c r="F1654" s="1859">
        <v>0</v>
      </c>
      <c r="G1654" s="1872" t="s">
        <v>5444</v>
      </c>
      <c r="H1654" s="1856">
        <v>0</v>
      </c>
      <c r="I1654" s="1856">
        <v>0</v>
      </c>
      <c r="J1654" s="1873">
        <v>0</v>
      </c>
      <c r="K1654" s="1860"/>
      <c r="L1654" s="1854">
        <v>13151070106</v>
      </c>
      <c r="M1654" s="1855">
        <v>0</v>
      </c>
      <c r="N1654" s="1855">
        <v>0</v>
      </c>
      <c r="O1654" s="1856">
        <v>0</v>
      </c>
    </row>
    <row r="1655" spans="3:15" ht="13.5">
      <c r="C1655" s="1861" t="s">
        <v>5445</v>
      </c>
      <c r="D1655" s="1858">
        <v>1</v>
      </c>
      <c r="E1655" s="1858">
        <v>1</v>
      </c>
      <c r="F1655" s="1859">
        <v>2</v>
      </c>
      <c r="G1655" s="1872" t="s">
        <v>5445</v>
      </c>
      <c r="H1655" s="1856">
        <v>1</v>
      </c>
      <c r="I1655" s="1856">
        <v>1</v>
      </c>
      <c r="J1655" s="1873">
        <v>2</v>
      </c>
      <c r="K1655" s="1860"/>
      <c r="L1655" s="1854">
        <v>13151070107</v>
      </c>
      <c r="M1655" s="1855">
        <v>1</v>
      </c>
      <c r="N1655" s="1855">
        <v>1</v>
      </c>
      <c r="O1655" s="1856">
        <v>2</v>
      </c>
    </row>
    <row r="1656" spans="3:15" ht="13.5">
      <c r="C1656" s="1861" t="s">
        <v>5446</v>
      </c>
      <c r="D1656" s="1858">
        <v>1</v>
      </c>
      <c r="E1656" s="1858">
        <v>1</v>
      </c>
      <c r="F1656" s="1859">
        <v>2</v>
      </c>
      <c r="G1656" s="1872" t="s">
        <v>5446</v>
      </c>
      <c r="H1656" s="1856">
        <v>1</v>
      </c>
      <c r="I1656" s="1856">
        <v>1</v>
      </c>
      <c r="J1656" s="1873">
        <v>2</v>
      </c>
      <c r="K1656" s="1860"/>
      <c r="L1656" s="1854">
        <v>13151070108</v>
      </c>
      <c r="M1656" s="1855">
        <v>1</v>
      </c>
      <c r="N1656" s="1855">
        <v>1</v>
      </c>
      <c r="O1656" s="1856">
        <v>2</v>
      </c>
    </row>
    <row r="1657" spans="3:15" ht="13.5">
      <c r="C1657" s="1861" t="s">
        <v>5447</v>
      </c>
      <c r="D1657" s="1858">
        <v>1</v>
      </c>
      <c r="E1657" s="1858">
        <v>1</v>
      </c>
      <c r="F1657" s="1859">
        <v>2</v>
      </c>
      <c r="G1657" s="1872" t="s">
        <v>5447</v>
      </c>
      <c r="H1657" s="1856">
        <v>1</v>
      </c>
      <c r="I1657" s="1856">
        <v>1</v>
      </c>
      <c r="J1657" s="1873">
        <v>2</v>
      </c>
      <c r="K1657" s="1860"/>
      <c r="L1657" s="1854">
        <v>13151070109</v>
      </c>
      <c r="M1657" s="1855">
        <v>1</v>
      </c>
      <c r="N1657" s="1855">
        <v>1</v>
      </c>
      <c r="O1657" s="1856">
        <v>2</v>
      </c>
    </row>
    <row r="1658" spans="3:15" ht="13.5">
      <c r="C1658" s="1861" t="s">
        <v>5448</v>
      </c>
      <c r="D1658" s="1858">
        <v>1</v>
      </c>
      <c r="E1658" s="1858">
        <v>1</v>
      </c>
      <c r="F1658" s="1859">
        <v>2</v>
      </c>
      <c r="G1658" s="1872" t="s">
        <v>5448</v>
      </c>
      <c r="H1658" s="1856">
        <v>1</v>
      </c>
      <c r="I1658" s="1856">
        <v>1</v>
      </c>
      <c r="J1658" s="1873">
        <v>2</v>
      </c>
      <c r="K1658" s="1860"/>
      <c r="L1658" s="1854">
        <v>13151070110</v>
      </c>
      <c r="M1658" s="1855">
        <v>1</v>
      </c>
      <c r="N1658" s="1855">
        <v>1</v>
      </c>
      <c r="O1658" s="1856">
        <v>2</v>
      </c>
    </row>
    <row r="1659" spans="3:15" ht="13.5">
      <c r="C1659" s="1861" t="s">
        <v>5449</v>
      </c>
      <c r="D1659" s="1858">
        <v>0</v>
      </c>
      <c r="E1659" s="1858">
        <v>0</v>
      </c>
      <c r="F1659" s="1859">
        <v>0</v>
      </c>
      <c r="G1659" s="1872" t="s">
        <v>5449</v>
      </c>
      <c r="H1659" s="1856">
        <v>0</v>
      </c>
      <c r="I1659" s="1856">
        <v>0</v>
      </c>
      <c r="J1659" s="1873">
        <v>0</v>
      </c>
      <c r="K1659" s="1860"/>
      <c r="L1659" s="1854">
        <v>13151070111</v>
      </c>
      <c r="M1659" s="1855">
        <v>0</v>
      </c>
      <c r="N1659" s="1855">
        <v>0</v>
      </c>
      <c r="O1659" s="1856">
        <v>0</v>
      </c>
    </row>
    <row r="1660" spans="3:15" ht="13.5">
      <c r="C1660" s="1861" t="s">
        <v>5450</v>
      </c>
      <c r="D1660" s="1858">
        <v>0</v>
      </c>
      <c r="E1660" s="1858">
        <v>0</v>
      </c>
      <c r="F1660" s="1859">
        <v>0</v>
      </c>
      <c r="G1660" s="1872" t="s">
        <v>5450</v>
      </c>
      <c r="H1660" s="1856">
        <v>0</v>
      </c>
      <c r="I1660" s="1856">
        <v>0</v>
      </c>
      <c r="J1660" s="1873">
        <v>0</v>
      </c>
      <c r="K1660" s="1860"/>
      <c r="L1660" s="1854">
        <v>13151070113</v>
      </c>
      <c r="M1660" s="1855">
        <v>0</v>
      </c>
      <c r="N1660" s="1855">
        <v>0</v>
      </c>
      <c r="O1660" s="1856">
        <v>0</v>
      </c>
    </row>
    <row r="1661" spans="3:15" ht="13.5">
      <c r="C1661" s="1861" t="s">
        <v>5451</v>
      </c>
      <c r="D1661" s="1858">
        <v>0</v>
      </c>
      <c r="E1661" s="1858">
        <v>1</v>
      </c>
      <c r="F1661" s="1859">
        <v>1</v>
      </c>
      <c r="G1661" s="1872" t="s">
        <v>5451</v>
      </c>
      <c r="H1661" s="1856">
        <v>0</v>
      </c>
      <c r="I1661" s="1856">
        <v>1</v>
      </c>
      <c r="J1661" s="1873">
        <v>1</v>
      </c>
      <c r="K1661" s="1860"/>
      <c r="L1661" s="1854">
        <v>13151070114</v>
      </c>
      <c r="M1661" s="1855">
        <v>0</v>
      </c>
      <c r="N1661" s="1855">
        <v>1</v>
      </c>
      <c r="O1661" s="1856">
        <v>1</v>
      </c>
    </row>
    <row r="1662" spans="3:15" ht="13.5">
      <c r="C1662" s="1861" t="s">
        <v>5452</v>
      </c>
      <c r="D1662" s="1858">
        <v>1</v>
      </c>
      <c r="E1662" s="1858">
        <v>1</v>
      </c>
      <c r="F1662" s="1859">
        <v>2</v>
      </c>
      <c r="G1662" s="1872" t="s">
        <v>5452</v>
      </c>
      <c r="H1662" s="1856">
        <v>1</v>
      </c>
      <c r="I1662" s="1856">
        <v>1</v>
      </c>
      <c r="J1662" s="1873">
        <v>2</v>
      </c>
      <c r="K1662" s="1860"/>
      <c r="L1662" s="1854">
        <v>13151070202</v>
      </c>
      <c r="M1662" s="1855">
        <v>1</v>
      </c>
      <c r="N1662" s="1855">
        <v>1</v>
      </c>
      <c r="O1662" s="1856">
        <v>2</v>
      </c>
    </row>
    <row r="1663" spans="3:15" ht="13.5">
      <c r="C1663" s="1861" t="s">
        <v>5453</v>
      </c>
      <c r="D1663" s="1858">
        <v>1</v>
      </c>
      <c r="E1663" s="1858">
        <v>1</v>
      </c>
      <c r="F1663" s="1859">
        <v>2</v>
      </c>
      <c r="G1663" s="1872" t="s">
        <v>5453</v>
      </c>
      <c r="H1663" s="1856">
        <v>1</v>
      </c>
      <c r="I1663" s="1856">
        <v>1</v>
      </c>
      <c r="J1663" s="1873">
        <v>2</v>
      </c>
      <c r="K1663" s="1860"/>
      <c r="L1663" s="1854">
        <v>13151070203</v>
      </c>
      <c r="M1663" s="1855">
        <v>1</v>
      </c>
      <c r="N1663" s="1855">
        <v>1</v>
      </c>
      <c r="O1663" s="1856">
        <v>2</v>
      </c>
    </row>
    <row r="1664" spans="3:15" ht="13.5">
      <c r="C1664" s="1861" t="s">
        <v>5454</v>
      </c>
      <c r="D1664" s="1858">
        <v>1</v>
      </c>
      <c r="E1664" s="1858">
        <v>1</v>
      </c>
      <c r="F1664" s="1859">
        <v>2</v>
      </c>
      <c r="G1664" s="1872" t="s">
        <v>5454</v>
      </c>
      <c r="H1664" s="1856">
        <v>1</v>
      </c>
      <c r="I1664" s="1856">
        <v>1</v>
      </c>
      <c r="J1664" s="1873">
        <v>2</v>
      </c>
      <c r="K1664" s="1860"/>
      <c r="L1664" s="1854">
        <v>13151070204</v>
      </c>
      <c r="M1664" s="1855">
        <v>1</v>
      </c>
      <c r="N1664" s="1855">
        <v>1</v>
      </c>
      <c r="O1664" s="1856">
        <v>2</v>
      </c>
    </row>
    <row r="1665" spans="3:15" ht="13.5">
      <c r="C1665" s="1861" t="s">
        <v>5455</v>
      </c>
      <c r="D1665" s="1858">
        <v>0</v>
      </c>
      <c r="E1665" s="1858">
        <v>1</v>
      </c>
      <c r="F1665" s="1859">
        <v>1</v>
      </c>
      <c r="G1665" s="1872" t="s">
        <v>5455</v>
      </c>
      <c r="H1665" s="1856">
        <v>0</v>
      </c>
      <c r="I1665" s="1856">
        <v>1</v>
      </c>
      <c r="J1665" s="1873">
        <v>1</v>
      </c>
      <c r="K1665" s="1860"/>
      <c r="L1665" s="1854">
        <v>13151070205</v>
      </c>
      <c r="M1665" s="1855">
        <v>0</v>
      </c>
      <c r="N1665" s="1855">
        <v>1</v>
      </c>
      <c r="O1665" s="1856">
        <v>1</v>
      </c>
    </row>
    <row r="1666" spans="3:15" ht="13.5">
      <c r="C1666" s="1861" t="s">
        <v>5456</v>
      </c>
      <c r="D1666" s="1858">
        <v>0</v>
      </c>
      <c r="E1666" s="1858">
        <v>0</v>
      </c>
      <c r="F1666" s="1859">
        <v>0</v>
      </c>
      <c r="G1666" s="1872" t="s">
        <v>5456</v>
      </c>
      <c r="H1666" s="1856">
        <v>0</v>
      </c>
      <c r="I1666" s="1856">
        <v>1</v>
      </c>
      <c r="J1666" s="1873">
        <v>1</v>
      </c>
      <c r="K1666" s="1860"/>
      <c r="L1666" s="1854">
        <v>13151070304</v>
      </c>
      <c r="M1666" s="1855">
        <v>0</v>
      </c>
      <c r="N1666" s="1855">
        <v>1</v>
      </c>
      <c r="O1666" s="1856">
        <v>1</v>
      </c>
    </row>
    <row r="1667" spans="3:15" ht="13.5">
      <c r="C1667" s="1861" t="s">
        <v>5457</v>
      </c>
      <c r="D1667" s="1858">
        <v>1</v>
      </c>
      <c r="E1667" s="1858">
        <v>1</v>
      </c>
      <c r="F1667" s="1859">
        <v>2</v>
      </c>
      <c r="G1667" s="1872" t="s">
        <v>5457</v>
      </c>
      <c r="H1667" s="1856">
        <v>1</v>
      </c>
      <c r="I1667" s="1856" t="s">
        <v>3909</v>
      </c>
      <c r="J1667" s="1873">
        <v>1</v>
      </c>
      <c r="K1667" s="1860"/>
      <c r="L1667" s="1854">
        <v>13151070305</v>
      </c>
      <c r="M1667" s="1855">
        <v>1</v>
      </c>
      <c r="N1667" s="1855">
        <v>1</v>
      </c>
      <c r="O1667" s="1856">
        <v>2</v>
      </c>
    </row>
    <row r="1668" spans="3:15" ht="13.5">
      <c r="C1668" s="1861" t="s">
        <v>5458</v>
      </c>
      <c r="D1668" s="1858">
        <v>1</v>
      </c>
      <c r="E1668" s="1858">
        <v>1</v>
      </c>
      <c r="F1668" s="1859">
        <v>2</v>
      </c>
      <c r="G1668" s="1872" t="s">
        <v>5458</v>
      </c>
      <c r="H1668" s="1856">
        <v>1</v>
      </c>
      <c r="I1668" s="1856">
        <v>1</v>
      </c>
      <c r="J1668" s="1873">
        <v>2</v>
      </c>
      <c r="K1668" s="1860"/>
      <c r="L1668" s="1854">
        <v>13151070306</v>
      </c>
      <c r="M1668" s="1855">
        <v>1</v>
      </c>
      <c r="N1668" s="1855">
        <v>1</v>
      </c>
      <c r="O1668" s="1856">
        <v>2</v>
      </c>
    </row>
    <row r="1669" spans="3:15" ht="13.5">
      <c r="C1669" s="1861" t="s">
        <v>5459</v>
      </c>
      <c r="D1669" s="1858">
        <v>1</v>
      </c>
      <c r="E1669" s="1858">
        <v>1</v>
      </c>
      <c r="F1669" s="1859">
        <v>2</v>
      </c>
      <c r="G1669" s="1872" t="s">
        <v>5459</v>
      </c>
      <c r="H1669" s="1856">
        <v>1</v>
      </c>
      <c r="I1669" s="1856">
        <v>1</v>
      </c>
      <c r="J1669" s="1873">
        <v>2</v>
      </c>
      <c r="K1669" s="1860"/>
      <c r="L1669" s="1854">
        <v>13151070307</v>
      </c>
      <c r="M1669" s="1855">
        <v>1</v>
      </c>
      <c r="N1669" s="1855">
        <v>1</v>
      </c>
      <c r="O1669" s="1856">
        <v>2</v>
      </c>
    </row>
    <row r="1670" spans="3:15" ht="13.5">
      <c r="C1670" s="1861" t="s">
        <v>5460</v>
      </c>
      <c r="D1670" s="1858">
        <v>1</v>
      </c>
      <c r="E1670" s="1858">
        <v>1</v>
      </c>
      <c r="F1670" s="1859">
        <v>2</v>
      </c>
      <c r="G1670" s="1872" t="s">
        <v>5460</v>
      </c>
      <c r="H1670" s="1856">
        <v>1</v>
      </c>
      <c r="I1670" s="1856">
        <v>1</v>
      </c>
      <c r="J1670" s="1873">
        <v>2</v>
      </c>
      <c r="K1670" s="1860"/>
      <c r="L1670" s="1854">
        <v>13151070309</v>
      </c>
      <c r="M1670" s="1855">
        <v>1</v>
      </c>
      <c r="N1670" s="1855">
        <v>1</v>
      </c>
      <c r="O1670" s="1856">
        <v>2</v>
      </c>
    </row>
    <row r="1671" spans="3:15" ht="13.5">
      <c r="C1671" s="1861" t="s">
        <v>5461</v>
      </c>
      <c r="D1671" s="1858">
        <v>1</v>
      </c>
      <c r="E1671" s="1858">
        <v>1</v>
      </c>
      <c r="F1671" s="1859">
        <v>2</v>
      </c>
      <c r="G1671" s="1872" t="s">
        <v>5461</v>
      </c>
      <c r="H1671" s="1856">
        <v>1</v>
      </c>
      <c r="I1671" s="1856">
        <v>0</v>
      </c>
      <c r="J1671" s="1873">
        <v>1</v>
      </c>
      <c r="K1671" s="1860"/>
      <c r="L1671" s="1854">
        <v>13151070310</v>
      </c>
      <c r="M1671" s="1855">
        <v>1</v>
      </c>
      <c r="N1671" s="1855">
        <v>1</v>
      </c>
      <c r="O1671" s="1856">
        <v>2</v>
      </c>
    </row>
    <row r="1672" spans="3:15" ht="13.5">
      <c r="C1672" s="1861" t="s">
        <v>5462</v>
      </c>
      <c r="D1672" s="1858">
        <v>0</v>
      </c>
      <c r="E1672" s="1858">
        <v>0</v>
      </c>
      <c r="F1672" s="1859">
        <v>0</v>
      </c>
      <c r="G1672" s="1872" t="s">
        <v>5462</v>
      </c>
      <c r="H1672" s="1856">
        <v>0</v>
      </c>
      <c r="I1672" s="1856" t="s">
        <v>3909</v>
      </c>
      <c r="J1672" s="1873">
        <v>0</v>
      </c>
      <c r="K1672" s="1860"/>
      <c r="L1672" s="1854">
        <v>13151070311</v>
      </c>
      <c r="M1672" s="1855">
        <v>0</v>
      </c>
      <c r="N1672" s="1855">
        <v>0</v>
      </c>
      <c r="O1672" s="1856">
        <v>0</v>
      </c>
    </row>
    <row r="1673" spans="3:15" ht="13.5">
      <c r="C1673" s="1861" t="s">
        <v>5463</v>
      </c>
      <c r="D1673" s="1858">
        <v>1</v>
      </c>
      <c r="E1673" s="1858">
        <v>1</v>
      </c>
      <c r="F1673" s="1859">
        <v>2</v>
      </c>
      <c r="G1673" s="1872" t="s">
        <v>5463</v>
      </c>
      <c r="H1673" s="1856">
        <v>1</v>
      </c>
      <c r="I1673" s="1856">
        <v>1</v>
      </c>
      <c r="J1673" s="1873">
        <v>2</v>
      </c>
      <c r="K1673" s="1860"/>
      <c r="L1673" s="1854">
        <v>13151070402</v>
      </c>
      <c r="M1673" s="1855">
        <v>1</v>
      </c>
      <c r="N1673" s="1855">
        <v>1</v>
      </c>
      <c r="O1673" s="1856">
        <v>2</v>
      </c>
    </row>
    <row r="1674" spans="3:15" ht="13.5">
      <c r="C1674" s="1861" t="s">
        <v>5464</v>
      </c>
      <c r="D1674" s="1858">
        <v>0</v>
      </c>
      <c r="E1674" s="1858">
        <v>1</v>
      </c>
      <c r="F1674" s="1859">
        <v>1</v>
      </c>
      <c r="G1674" s="1872" t="s">
        <v>5464</v>
      </c>
      <c r="H1674" s="1856">
        <v>0</v>
      </c>
      <c r="I1674" s="1856">
        <v>0</v>
      </c>
      <c r="J1674" s="1873">
        <v>0</v>
      </c>
      <c r="K1674" s="1860"/>
      <c r="L1674" s="1854">
        <v>13151070403</v>
      </c>
      <c r="M1674" s="1855">
        <v>0</v>
      </c>
      <c r="N1674" s="1855">
        <v>1</v>
      </c>
      <c r="O1674" s="1856">
        <v>1</v>
      </c>
    </row>
    <row r="1675" spans="3:15" ht="13.5">
      <c r="C1675" s="1861" t="s">
        <v>5465</v>
      </c>
      <c r="D1675" s="1858">
        <v>1</v>
      </c>
      <c r="E1675" s="1858">
        <v>1</v>
      </c>
      <c r="F1675" s="1859">
        <v>2</v>
      </c>
      <c r="G1675" s="1872" t="s">
        <v>5465</v>
      </c>
      <c r="H1675" s="1856">
        <v>1</v>
      </c>
      <c r="I1675" s="1856">
        <v>1</v>
      </c>
      <c r="J1675" s="1873">
        <v>2</v>
      </c>
      <c r="K1675" s="1860"/>
      <c r="L1675" s="1854">
        <v>13151070404</v>
      </c>
      <c r="M1675" s="1855">
        <v>1</v>
      </c>
      <c r="N1675" s="1855">
        <v>1</v>
      </c>
      <c r="O1675" s="1856">
        <v>2</v>
      </c>
    </row>
    <row r="1676" spans="3:15" ht="13.5">
      <c r="C1676" s="1861" t="s">
        <v>5466</v>
      </c>
      <c r="D1676" s="1858">
        <v>0</v>
      </c>
      <c r="E1676" s="1858">
        <v>0</v>
      </c>
      <c r="F1676" s="1859">
        <v>0</v>
      </c>
      <c r="G1676" s="1872" t="s">
        <v>5466</v>
      </c>
      <c r="H1676" s="1856">
        <v>1</v>
      </c>
      <c r="I1676" s="1856">
        <v>0</v>
      </c>
      <c r="J1676" s="1873">
        <v>1</v>
      </c>
      <c r="K1676" s="1860"/>
      <c r="L1676" s="1854">
        <v>13151070501</v>
      </c>
      <c r="M1676" s="1855">
        <v>1</v>
      </c>
      <c r="N1676" s="1855">
        <v>0</v>
      </c>
      <c r="O1676" s="1856">
        <v>1</v>
      </c>
    </row>
    <row r="1677" spans="3:15" ht="13.5">
      <c r="C1677" s="1861" t="s">
        <v>5467</v>
      </c>
      <c r="D1677" s="1858">
        <v>1</v>
      </c>
      <c r="E1677" s="1858">
        <v>1</v>
      </c>
      <c r="F1677" s="1859">
        <v>2</v>
      </c>
      <c r="G1677" s="1872" t="s">
        <v>5467</v>
      </c>
      <c r="H1677" s="1856">
        <v>1</v>
      </c>
      <c r="I1677" s="1856">
        <v>1</v>
      </c>
      <c r="J1677" s="1873">
        <v>2</v>
      </c>
      <c r="K1677" s="1860"/>
      <c r="L1677" s="1854">
        <v>13151070502</v>
      </c>
      <c r="M1677" s="1855">
        <v>1</v>
      </c>
      <c r="N1677" s="1855">
        <v>1</v>
      </c>
      <c r="O1677" s="1856">
        <v>2</v>
      </c>
    </row>
    <row r="1678" spans="3:15" ht="13.5">
      <c r="C1678" s="1861" t="s">
        <v>5468</v>
      </c>
      <c r="D1678" s="1858">
        <v>0</v>
      </c>
      <c r="E1678" s="1858">
        <v>0</v>
      </c>
      <c r="F1678" s="1859">
        <v>0</v>
      </c>
      <c r="G1678" s="1872" t="s">
        <v>5468</v>
      </c>
      <c r="H1678" s="1856">
        <v>0</v>
      </c>
      <c r="I1678" s="1856">
        <v>1</v>
      </c>
      <c r="J1678" s="1873">
        <v>0</v>
      </c>
      <c r="K1678" s="1860"/>
      <c r="L1678" s="1854">
        <v>13153020105</v>
      </c>
      <c r="M1678" s="1855">
        <v>0</v>
      </c>
      <c r="N1678" s="1855">
        <v>1</v>
      </c>
      <c r="O1678" s="1856">
        <v>0</v>
      </c>
    </row>
    <row r="1679" spans="3:15" ht="13.5">
      <c r="C1679" s="1861" t="s">
        <v>5469</v>
      </c>
      <c r="D1679" s="1858">
        <v>0</v>
      </c>
      <c r="E1679" s="1858">
        <v>1</v>
      </c>
      <c r="F1679" s="1859">
        <v>1</v>
      </c>
      <c r="G1679" s="1872" t="s">
        <v>5469</v>
      </c>
      <c r="H1679" s="1856">
        <v>0</v>
      </c>
      <c r="I1679" s="1856">
        <v>0</v>
      </c>
      <c r="J1679" s="1873">
        <v>0</v>
      </c>
      <c r="K1679" s="1860"/>
      <c r="L1679" s="1854">
        <v>13153020106</v>
      </c>
      <c r="M1679" s="1855">
        <v>0</v>
      </c>
      <c r="N1679" s="1855">
        <v>1</v>
      </c>
      <c r="O1679" s="1856">
        <v>1</v>
      </c>
    </row>
    <row r="1680" spans="3:15" ht="13.5">
      <c r="C1680" s="1861" t="s">
        <v>5470</v>
      </c>
      <c r="D1680" s="1858">
        <v>0</v>
      </c>
      <c r="E1680" s="1858">
        <v>1</v>
      </c>
      <c r="F1680" s="1859">
        <v>1</v>
      </c>
      <c r="G1680" s="1872" t="s">
        <v>5470</v>
      </c>
      <c r="H1680" s="1856">
        <v>0</v>
      </c>
      <c r="I1680" s="1856">
        <v>1</v>
      </c>
      <c r="J1680" s="1873">
        <v>1</v>
      </c>
      <c r="K1680" s="1860"/>
      <c r="L1680" s="1854">
        <v>13153020108</v>
      </c>
      <c r="M1680" s="1855">
        <v>0</v>
      </c>
      <c r="N1680" s="1855">
        <v>1</v>
      </c>
      <c r="O1680" s="1856">
        <v>1</v>
      </c>
    </row>
    <row r="1681" spans="3:15" ht="13.5">
      <c r="C1681" s="1861" t="s">
        <v>5471</v>
      </c>
      <c r="D1681" s="1858">
        <v>1</v>
      </c>
      <c r="E1681" s="1858">
        <v>1</v>
      </c>
      <c r="F1681" s="1859">
        <v>2</v>
      </c>
      <c r="G1681" s="1872" t="s">
        <v>5471</v>
      </c>
      <c r="H1681" s="1856">
        <v>1</v>
      </c>
      <c r="I1681" s="1856">
        <v>1</v>
      </c>
      <c r="J1681" s="1873">
        <v>2</v>
      </c>
      <c r="K1681" s="1860"/>
      <c r="L1681" s="1854">
        <v>13153020109</v>
      </c>
      <c r="M1681" s="1855">
        <v>1</v>
      </c>
      <c r="N1681" s="1855">
        <v>1</v>
      </c>
      <c r="O1681" s="1856">
        <v>2</v>
      </c>
    </row>
    <row r="1682" spans="3:15" ht="13.5">
      <c r="C1682" s="1861" t="s">
        <v>5472</v>
      </c>
      <c r="D1682" s="1858">
        <v>0</v>
      </c>
      <c r="E1682" s="1858">
        <v>0</v>
      </c>
      <c r="F1682" s="1859">
        <v>0</v>
      </c>
      <c r="G1682" s="1872" t="s">
        <v>5472</v>
      </c>
      <c r="H1682" s="1856">
        <v>0</v>
      </c>
      <c r="I1682" s="1856">
        <v>0</v>
      </c>
      <c r="J1682" s="1873">
        <v>0</v>
      </c>
      <c r="K1682" s="1860"/>
      <c r="L1682" s="1854">
        <v>13153020200</v>
      </c>
      <c r="M1682" s="1855">
        <v>0</v>
      </c>
      <c r="N1682" s="1855">
        <v>0</v>
      </c>
      <c r="O1682" s="1856">
        <v>0</v>
      </c>
    </row>
    <row r="1683" spans="3:15" ht="13.5">
      <c r="C1683" s="1861" t="s">
        <v>5473</v>
      </c>
      <c r="D1683" s="1858">
        <v>0</v>
      </c>
      <c r="E1683" s="1858">
        <v>0</v>
      </c>
      <c r="F1683" s="1859">
        <v>0</v>
      </c>
      <c r="G1683" s="1872" t="s">
        <v>5473</v>
      </c>
      <c r="H1683" s="1856">
        <v>0</v>
      </c>
      <c r="I1683" s="1856">
        <v>0</v>
      </c>
      <c r="J1683" s="1873">
        <v>0</v>
      </c>
      <c r="K1683" s="1860"/>
      <c r="L1683" s="1854">
        <v>13153020300</v>
      </c>
      <c r="M1683" s="1855">
        <v>0</v>
      </c>
      <c r="N1683" s="1855">
        <v>0</v>
      </c>
      <c r="O1683" s="1856">
        <v>0</v>
      </c>
    </row>
    <row r="1684" spans="3:15" ht="13.5">
      <c r="C1684" s="1861" t="s">
        <v>5474</v>
      </c>
      <c r="D1684" s="1858">
        <v>0</v>
      </c>
      <c r="E1684" s="1858">
        <v>0</v>
      </c>
      <c r="F1684" s="1859">
        <v>0</v>
      </c>
      <c r="G1684" s="1872" t="s">
        <v>5474</v>
      </c>
      <c r="H1684" s="1856">
        <v>0</v>
      </c>
      <c r="I1684" s="1856">
        <v>0</v>
      </c>
      <c r="J1684" s="1873">
        <v>0</v>
      </c>
      <c r="K1684" s="1860"/>
      <c r="L1684" s="1854">
        <v>13153020400</v>
      </c>
      <c r="M1684" s="1855">
        <v>0</v>
      </c>
      <c r="N1684" s="1855">
        <v>0</v>
      </c>
      <c r="O1684" s="1856">
        <v>0</v>
      </c>
    </row>
    <row r="1685" spans="3:15" ht="13.5">
      <c r="C1685" s="1861" t="s">
        <v>5475</v>
      </c>
      <c r="D1685" s="1858">
        <v>0</v>
      </c>
      <c r="E1685" s="1858">
        <v>1</v>
      </c>
      <c r="F1685" s="1859">
        <v>1</v>
      </c>
      <c r="G1685" s="1872" t="s">
        <v>5475</v>
      </c>
      <c r="H1685" s="1856">
        <v>0</v>
      </c>
      <c r="I1685" s="1856" t="s">
        <v>3909</v>
      </c>
      <c r="J1685" s="1873">
        <v>0</v>
      </c>
      <c r="K1685" s="1860"/>
      <c r="L1685" s="1854">
        <v>13153020600</v>
      </c>
      <c r="M1685" s="1855">
        <v>0</v>
      </c>
      <c r="N1685" s="1855">
        <v>1</v>
      </c>
      <c r="O1685" s="1856">
        <v>1</v>
      </c>
    </row>
    <row r="1686" spans="3:15" ht="13.5">
      <c r="C1686" s="1861" t="s">
        <v>5476</v>
      </c>
      <c r="D1686" s="1858">
        <v>0</v>
      </c>
      <c r="E1686" s="1858">
        <v>0</v>
      </c>
      <c r="F1686" s="1859">
        <v>0</v>
      </c>
      <c r="G1686" s="1872" t="s">
        <v>5476</v>
      </c>
      <c r="H1686" s="1856">
        <v>0</v>
      </c>
      <c r="I1686" s="1856">
        <v>0</v>
      </c>
      <c r="J1686" s="1873">
        <v>0</v>
      </c>
      <c r="K1686" s="1860"/>
      <c r="L1686" s="1854">
        <v>13153020700</v>
      </c>
      <c r="M1686" s="1855">
        <v>0</v>
      </c>
      <c r="N1686" s="1855">
        <v>0</v>
      </c>
      <c r="O1686" s="1856">
        <v>0</v>
      </c>
    </row>
    <row r="1687" spans="3:15" ht="13.5">
      <c r="C1687" s="1861" t="s">
        <v>5477</v>
      </c>
      <c r="D1687" s="1858">
        <v>0</v>
      </c>
      <c r="E1687" s="1858">
        <v>0</v>
      </c>
      <c r="F1687" s="1859">
        <v>0</v>
      </c>
      <c r="G1687" s="1872" t="s">
        <v>5477</v>
      </c>
      <c r="H1687" s="1856">
        <v>1</v>
      </c>
      <c r="I1687" s="1856">
        <v>0</v>
      </c>
      <c r="J1687" s="1873">
        <v>1</v>
      </c>
      <c r="K1687" s="1860"/>
      <c r="L1687" s="1854">
        <v>13153020800</v>
      </c>
      <c r="M1687" s="1855">
        <v>1</v>
      </c>
      <c r="N1687" s="1855">
        <v>0</v>
      </c>
      <c r="O1687" s="1856">
        <v>1</v>
      </c>
    </row>
    <row r="1688" spans="3:15" ht="13.5">
      <c r="C1688" s="1861" t="s">
        <v>5478</v>
      </c>
      <c r="D1688" s="1858">
        <v>0</v>
      </c>
      <c r="E1688" s="1858">
        <v>0</v>
      </c>
      <c r="F1688" s="1859">
        <v>0</v>
      </c>
      <c r="G1688" s="1872" t="s">
        <v>5478</v>
      </c>
      <c r="H1688" s="1856">
        <v>0</v>
      </c>
      <c r="I1688" s="1856">
        <v>0</v>
      </c>
      <c r="J1688" s="1873">
        <v>0</v>
      </c>
      <c r="K1688" s="1860"/>
      <c r="L1688" s="1854">
        <v>13153020900</v>
      </c>
      <c r="M1688" s="1855">
        <v>0</v>
      </c>
      <c r="N1688" s="1855">
        <v>0</v>
      </c>
      <c r="O1688" s="1856">
        <v>0</v>
      </c>
    </row>
    <row r="1689" spans="3:15" ht="13.5">
      <c r="C1689" s="1861" t="s">
        <v>5479</v>
      </c>
      <c r="D1689" s="1858">
        <v>0</v>
      </c>
      <c r="E1689" s="1858">
        <v>0</v>
      </c>
      <c r="F1689" s="1859">
        <v>0</v>
      </c>
      <c r="G1689" s="1872" t="s">
        <v>5479</v>
      </c>
      <c r="H1689" s="1856">
        <v>0</v>
      </c>
      <c r="I1689" s="1856">
        <v>1</v>
      </c>
      <c r="J1689" s="1873">
        <v>1</v>
      </c>
      <c r="K1689" s="1860"/>
      <c r="L1689" s="1854">
        <v>13153021000</v>
      </c>
      <c r="M1689" s="1855">
        <v>0</v>
      </c>
      <c r="N1689" s="1855">
        <v>1</v>
      </c>
      <c r="O1689" s="1856">
        <v>1</v>
      </c>
    </row>
    <row r="1690" spans="3:15" ht="13.5">
      <c r="C1690" s="1861" t="s">
        <v>5480</v>
      </c>
      <c r="D1690" s="1858">
        <v>1</v>
      </c>
      <c r="E1690" s="1858">
        <v>1</v>
      </c>
      <c r="F1690" s="1859">
        <v>2</v>
      </c>
      <c r="G1690" s="1872" t="s">
        <v>5480</v>
      </c>
      <c r="H1690" s="1856">
        <v>1</v>
      </c>
      <c r="I1690" s="1856">
        <v>1</v>
      </c>
      <c r="J1690" s="1873">
        <v>2</v>
      </c>
      <c r="K1690" s="1860"/>
      <c r="L1690" s="1854">
        <v>13153021103</v>
      </c>
      <c r="M1690" s="1855">
        <v>1</v>
      </c>
      <c r="N1690" s="1855">
        <v>1</v>
      </c>
      <c r="O1690" s="1856">
        <v>2</v>
      </c>
    </row>
    <row r="1691" spans="3:15" ht="13.5">
      <c r="C1691" s="1861" t="s">
        <v>5481</v>
      </c>
      <c r="D1691" s="1858">
        <v>0</v>
      </c>
      <c r="E1691" s="1858">
        <v>0</v>
      </c>
      <c r="F1691" s="1859">
        <v>0</v>
      </c>
      <c r="G1691" s="1872" t="s">
        <v>5481</v>
      </c>
      <c r="H1691" s="1856">
        <v>0</v>
      </c>
      <c r="I1691" s="1856">
        <v>0</v>
      </c>
      <c r="J1691" s="1873">
        <v>0</v>
      </c>
      <c r="K1691" s="1860"/>
      <c r="L1691" s="1854">
        <v>13153021104</v>
      </c>
      <c r="M1691" s="1855">
        <v>0</v>
      </c>
      <c r="N1691" s="1855">
        <v>0</v>
      </c>
      <c r="O1691" s="1856">
        <v>0</v>
      </c>
    </row>
    <row r="1692" spans="3:15" ht="13.5">
      <c r="C1692" s="1861" t="s">
        <v>5482</v>
      </c>
      <c r="D1692" s="1858">
        <v>0</v>
      </c>
      <c r="E1692" s="1858">
        <v>1</v>
      </c>
      <c r="F1692" s="1859">
        <v>1</v>
      </c>
      <c r="G1692" s="1872" t="s">
        <v>5482</v>
      </c>
      <c r="H1692" s="1856">
        <v>1</v>
      </c>
      <c r="I1692" s="1856">
        <v>0</v>
      </c>
      <c r="J1692" s="1873">
        <v>1</v>
      </c>
      <c r="K1692" s="1860"/>
      <c r="L1692" s="1854">
        <v>13153021105</v>
      </c>
      <c r="M1692" s="1855">
        <v>1</v>
      </c>
      <c r="N1692" s="1855">
        <v>1</v>
      </c>
      <c r="O1692" s="1856">
        <v>1</v>
      </c>
    </row>
    <row r="1693" spans="3:15" ht="13.5">
      <c r="C1693" s="1861" t="s">
        <v>5483</v>
      </c>
      <c r="D1693" s="1858">
        <v>1</v>
      </c>
      <c r="E1693" s="1858">
        <v>1</v>
      </c>
      <c r="F1693" s="1859">
        <v>2</v>
      </c>
      <c r="G1693" s="1872" t="s">
        <v>5483</v>
      </c>
      <c r="H1693" s="1856">
        <v>0</v>
      </c>
      <c r="I1693" s="1856">
        <v>1</v>
      </c>
      <c r="J1693" s="1873">
        <v>1</v>
      </c>
      <c r="K1693" s="1860"/>
      <c r="L1693" s="1854">
        <v>13153021107</v>
      </c>
      <c r="M1693" s="1855">
        <v>1</v>
      </c>
      <c r="N1693" s="1855">
        <v>1</v>
      </c>
      <c r="O1693" s="1856">
        <v>2</v>
      </c>
    </row>
    <row r="1694" spans="3:15" ht="13.5">
      <c r="C1694" s="1861" t="s">
        <v>5484</v>
      </c>
      <c r="D1694" s="1858">
        <v>1</v>
      </c>
      <c r="E1694" s="1858">
        <v>1</v>
      </c>
      <c r="F1694" s="1859">
        <v>2</v>
      </c>
      <c r="G1694" s="1872" t="s">
        <v>5484</v>
      </c>
      <c r="H1694" s="1856">
        <v>1</v>
      </c>
      <c r="I1694" s="1856">
        <v>1</v>
      </c>
      <c r="J1694" s="1873">
        <v>2</v>
      </c>
      <c r="K1694" s="1860"/>
      <c r="L1694" s="1854">
        <v>13153021108</v>
      </c>
      <c r="M1694" s="1855">
        <v>1</v>
      </c>
      <c r="N1694" s="1855">
        <v>1</v>
      </c>
      <c r="O1694" s="1856">
        <v>2</v>
      </c>
    </row>
    <row r="1695" spans="3:15" ht="13.5">
      <c r="C1695" s="1861" t="s">
        <v>5485</v>
      </c>
      <c r="D1695" s="1858">
        <v>1</v>
      </c>
      <c r="E1695" s="1858">
        <v>1</v>
      </c>
      <c r="F1695" s="1859">
        <v>2</v>
      </c>
      <c r="G1695" s="1872" t="s">
        <v>5485</v>
      </c>
      <c r="H1695" s="1856">
        <v>1</v>
      </c>
      <c r="I1695" s="1856">
        <v>1</v>
      </c>
      <c r="J1695" s="1873">
        <v>2</v>
      </c>
      <c r="K1695" s="1860"/>
      <c r="L1695" s="1854">
        <v>13153021113</v>
      </c>
      <c r="M1695" s="1855">
        <v>1</v>
      </c>
      <c r="N1695" s="1855">
        <v>1</v>
      </c>
      <c r="O1695" s="1856">
        <v>2</v>
      </c>
    </row>
    <row r="1696" spans="3:15" ht="13.5">
      <c r="C1696" s="1861" t="s">
        <v>5486</v>
      </c>
      <c r="D1696" s="1858">
        <v>1</v>
      </c>
      <c r="E1696" s="1858">
        <v>1</v>
      </c>
      <c r="F1696" s="1859">
        <v>2</v>
      </c>
      <c r="G1696" s="1872" t="s">
        <v>5486</v>
      </c>
      <c r="H1696" s="1856">
        <v>1</v>
      </c>
      <c r="I1696" s="1856">
        <v>1</v>
      </c>
      <c r="J1696" s="1873">
        <v>2</v>
      </c>
      <c r="K1696" s="1860"/>
      <c r="L1696" s="1854">
        <v>13153021201</v>
      </c>
      <c r="M1696" s="1855">
        <v>1</v>
      </c>
      <c r="N1696" s="1855">
        <v>1</v>
      </c>
      <c r="O1696" s="1856">
        <v>2</v>
      </c>
    </row>
    <row r="1697" spans="3:15" ht="13.5">
      <c r="C1697" s="1861" t="s">
        <v>5487</v>
      </c>
      <c r="D1697" s="1858">
        <v>0</v>
      </c>
      <c r="E1697" s="1858">
        <v>1</v>
      </c>
      <c r="F1697" s="1859">
        <v>1</v>
      </c>
      <c r="G1697" s="1872" t="s">
        <v>5487</v>
      </c>
      <c r="H1697" s="1856">
        <v>0</v>
      </c>
      <c r="I1697" s="1856">
        <v>1</v>
      </c>
      <c r="J1697" s="1873">
        <v>1</v>
      </c>
      <c r="K1697" s="1860"/>
      <c r="L1697" s="1854">
        <v>13153021202</v>
      </c>
      <c r="M1697" s="1855">
        <v>0</v>
      </c>
      <c r="N1697" s="1855">
        <v>1</v>
      </c>
      <c r="O1697" s="1856">
        <v>1</v>
      </c>
    </row>
    <row r="1698" spans="3:15" ht="13.5">
      <c r="C1698" s="1861" t="s">
        <v>5488</v>
      </c>
      <c r="D1698" s="1858">
        <v>0</v>
      </c>
      <c r="E1698" s="1858">
        <v>0</v>
      </c>
      <c r="F1698" s="1859">
        <v>0</v>
      </c>
      <c r="G1698" s="1872" t="s">
        <v>5488</v>
      </c>
      <c r="H1698" s="1856">
        <v>0</v>
      </c>
      <c r="I1698" s="1856">
        <v>0</v>
      </c>
      <c r="J1698" s="1873">
        <v>0</v>
      </c>
      <c r="K1698" s="1860"/>
      <c r="L1698" s="1854">
        <v>13153021300</v>
      </c>
      <c r="M1698" s="1855">
        <v>0</v>
      </c>
      <c r="N1698" s="1855">
        <v>0</v>
      </c>
      <c r="O1698" s="1856">
        <v>0</v>
      </c>
    </row>
    <row r="1699" spans="3:15" ht="13.5">
      <c r="C1699" s="1861" t="s">
        <v>5489</v>
      </c>
      <c r="D1699" s="1858">
        <v>0</v>
      </c>
      <c r="E1699" s="1858">
        <v>1</v>
      </c>
      <c r="F1699" s="1859">
        <v>1</v>
      </c>
      <c r="G1699" s="1872" t="s">
        <v>5489</v>
      </c>
      <c r="H1699" s="1856">
        <v>0</v>
      </c>
      <c r="I1699" s="1856">
        <v>1</v>
      </c>
      <c r="J1699" s="1873">
        <v>1</v>
      </c>
      <c r="K1699" s="1860"/>
      <c r="L1699" s="1854">
        <v>13153021400</v>
      </c>
      <c r="M1699" s="1855">
        <v>0</v>
      </c>
      <c r="N1699" s="1855">
        <v>1</v>
      </c>
      <c r="O1699" s="1856">
        <v>1</v>
      </c>
    </row>
    <row r="1700" spans="3:15" ht="13.5">
      <c r="C1700" s="1861" t="s">
        <v>5490</v>
      </c>
      <c r="D1700" s="1858">
        <v>1</v>
      </c>
      <c r="E1700" s="1858">
        <v>1</v>
      </c>
      <c r="F1700" s="1859">
        <v>2</v>
      </c>
      <c r="G1700" s="1872" t="s">
        <v>5490</v>
      </c>
      <c r="H1700" s="1856">
        <v>1</v>
      </c>
      <c r="I1700" s="1856">
        <v>1</v>
      </c>
      <c r="J1700" s="1873">
        <v>2</v>
      </c>
      <c r="K1700" s="1860"/>
      <c r="L1700" s="1854">
        <v>13153021500</v>
      </c>
      <c r="M1700" s="1855">
        <v>1</v>
      </c>
      <c r="N1700" s="1855">
        <v>1</v>
      </c>
      <c r="O1700" s="1856">
        <v>2</v>
      </c>
    </row>
    <row r="1701" spans="3:15" ht="13.5">
      <c r="C1701" s="1861" t="s">
        <v>5491</v>
      </c>
      <c r="D1701" s="1858">
        <v>0</v>
      </c>
      <c r="E1701" s="1858">
        <v>0</v>
      </c>
      <c r="F1701" s="1859">
        <v>0</v>
      </c>
      <c r="G1701" s="1872" t="s">
        <v>5491</v>
      </c>
      <c r="H1701" s="1856">
        <v>0</v>
      </c>
      <c r="I1701" s="1856">
        <v>0</v>
      </c>
      <c r="J1701" s="1873">
        <v>0</v>
      </c>
      <c r="K1701" s="1860"/>
      <c r="L1701" s="1854">
        <v>13155950100</v>
      </c>
      <c r="M1701" s="1855">
        <v>0</v>
      </c>
      <c r="N1701" s="1855">
        <v>0</v>
      </c>
      <c r="O1701" s="1856">
        <v>0</v>
      </c>
    </row>
    <row r="1702" spans="3:15" ht="13.5">
      <c r="C1702" s="1861" t="s">
        <v>5492</v>
      </c>
      <c r="D1702" s="1858">
        <v>0</v>
      </c>
      <c r="E1702" s="1858">
        <v>0</v>
      </c>
      <c r="F1702" s="1859">
        <v>0</v>
      </c>
      <c r="G1702" s="1872" t="s">
        <v>5492</v>
      </c>
      <c r="H1702" s="1856">
        <v>0</v>
      </c>
      <c r="I1702" s="1856">
        <v>0</v>
      </c>
      <c r="J1702" s="1873">
        <v>0</v>
      </c>
      <c r="K1702" s="1860"/>
      <c r="L1702" s="1854">
        <v>13155950200</v>
      </c>
      <c r="M1702" s="1855">
        <v>0</v>
      </c>
      <c r="N1702" s="1855">
        <v>0</v>
      </c>
      <c r="O1702" s="1856">
        <v>0</v>
      </c>
    </row>
    <row r="1703" spans="3:15" ht="13.5">
      <c r="C1703" s="1861" t="s">
        <v>5493</v>
      </c>
      <c r="D1703" s="1858">
        <v>1</v>
      </c>
      <c r="E1703" s="1858">
        <v>1</v>
      </c>
      <c r="F1703" s="1859">
        <v>2</v>
      </c>
      <c r="G1703" s="1872" t="s">
        <v>5493</v>
      </c>
      <c r="H1703" s="1856">
        <v>1</v>
      </c>
      <c r="I1703" s="1856">
        <v>1</v>
      </c>
      <c r="J1703" s="1873">
        <v>1</v>
      </c>
      <c r="K1703" s="1860"/>
      <c r="L1703" s="1854">
        <v>13157010101</v>
      </c>
      <c r="M1703" s="1855">
        <v>1</v>
      </c>
      <c r="N1703" s="1855">
        <v>1</v>
      </c>
      <c r="O1703" s="1856">
        <v>2</v>
      </c>
    </row>
    <row r="1704" spans="3:15" ht="13.5">
      <c r="C1704" s="1861" t="s">
        <v>5494</v>
      </c>
      <c r="D1704" s="1858">
        <v>1</v>
      </c>
      <c r="E1704" s="1858">
        <v>1</v>
      </c>
      <c r="F1704" s="1859">
        <v>2</v>
      </c>
      <c r="G1704" s="1872" t="s">
        <v>5494</v>
      </c>
      <c r="H1704" s="1856">
        <v>1</v>
      </c>
      <c r="I1704" s="1856">
        <v>1</v>
      </c>
      <c r="J1704" s="1873">
        <v>2</v>
      </c>
      <c r="K1704" s="1860"/>
      <c r="L1704" s="1854">
        <v>13157010102</v>
      </c>
      <c r="M1704" s="1855">
        <v>1</v>
      </c>
      <c r="N1704" s="1855">
        <v>1</v>
      </c>
      <c r="O1704" s="1856">
        <v>2</v>
      </c>
    </row>
    <row r="1705" spans="3:15" ht="13.5">
      <c r="C1705" s="1861" t="s">
        <v>5495</v>
      </c>
      <c r="D1705" s="1858">
        <v>1</v>
      </c>
      <c r="E1705" s="1858">
        <v>1</v>
      </c>
      <c r="F1705" s="1859">
        <v>2</v>
      </c>
      <c r="G1705" s="1872" t="s">
        <v>5495</v>
      </c>
      <c r="H1705" s="1856">
        <v>0</v>
      </c>
      <c r="I1705" s="1856">
        <v>1</v>
      </c>
      <c r="J1705" s="1873">
        <v>1</v>
      </c>
      <c r="K1705" s="1860"/>
      <c r="L1705" s="1854">
        <v>13157010103</v>
      </c>
      <c r="M1705" s="1855">
        <v>1</v>
      </c>
      <c r="N1705" s="1855">
        <v>1</v>
      </c>
      <c r="O1705" s="1856">
        <v>2</v>
      </c>
    </row>
    <row r="1706" spans="3:15" ht="13.5">
      <c r="C1706" s="1861" t="s">
        <v>5496</v>
      </c>
      <c r="D1706" s="1858">
        <v>0</v>
      </c>
      <c r="E1706" s="1858">
        <v>0</v>
      </c>
      <c r="F1706" s="1859">
        <v>0</v>
      </c>
      <c r="G1706" s="1872" t="s">
        <v>5496</v>
      </c>
      <c r="H1706" s="1856">
        <v>0</v>
      </c>
      <c r="I1706" s="1856">
        <v>0</v>
      </c>
      <c r="J1706" s="1873">
        <v>0</v>
      </c>
      <c r="K1706" s="1860"/>
      <c r="L1706" s="1854">
        <v>13157010200</v>
      </c>
      <c r="M1706" s="1855">
        <v>0</v>
      </c>
      <c r="N1706" s="1855">
        <v>0</v>
      </c>
      <c r="O1706" s="1856">
        <v>0</v>
      </c>
    </row>
    <row r="1707" spans="3:15" ht="13.5">
      <c r="C1707" s="1861" t="s">
        <v>5497</v>
      </c>
      <c r="D1707" s="1858">
        <v>0</v>
      </c>
      <c r="E1707" s="1858">
        <v>0</v>
      </c>
      <c r="F1707" s="1859">
        <v>0</v>
      </c>
      <c r="G1707" s="1872" t="s">
        <v>5497</v>
      </c>
      <c r="H1707" s="1856">
        <v>0</v>
      </c>
      <c r="I1707" s="1856">
        <v>0</v>
      </c>
      <c r="J1707" s="1873">
        <v>0</v>
      </c>
      <c r="K1707" s="1860"/>
      <c r="L1707" s="1854">
        <v>13157010300</v>
      </c>
      <c r="M1707" s="1855">
        <v>0</v>
      </c>
      <c r="N1707" s="1855">
        <v>0</v>
      </c>
      <c r="O1707" s="1856">
        <v>0</v>
      </c>
    </row>
    <row r="1708" spans="3:15" ht="13.5">
      <c r="C1708" s="1861" t="s">
        <v>5498</v>
      </c>
      <c r="D1708" s="1858">
        <v>0</v>
      </c>
      <c r="E1708" s="1858">
        <v>0</v>
      </c>
      <c r="F1708" s="1859">
        <v>0</v>
      </c>
      <c r="G1708" s="1872" t="s">
        <v>5498</v>
      </c>
      <c r="H1708" s="1856">
        <v>0</v>
      </c>
      <c r="I1708" s="1856">
        <v>0</v>
      </c>
      <c r="J1708" s="1873">
        <v>0</v>
      </c>
      <c r="K1708" s="1860"/>
      <c r="L1708" s="1854">
        <v>13157010400</v>
      </c>
      <c r="M1708" s="1855">
        <v>0</v>
      </c>
      <c r="N1708" s="1855">
        <v>0</v>
      </c>
      <c r="O1708" s="1856">
        <v>0</v>
      </c>
    </row>
    <row r="1709" spans="3:15" ht="13.5">
      <c r="C1709" s="1861" t="s">
        <v>5499</v>
      </c>
      <c r="D1709" s="1858">
        <v>0</v>
      </c>
      <c r="E1709" s="1858">
        <v>0</v>
      </c>
      <c r="F1709" s="1859">
        <v>0</v>
      </c>
      <c r="G1709" s="1872" t="s">
        <v>5499</v>
      </c>
      <c r="H1709" s="1856">
        <v>0</v>
      </c>
      <c r="I1709" s="1856">
        <v>0</v>
      </c>
      <c r="J1709" s="1873">
        <v>0</v>
      </c>
      <c r="K1709" s="1860"/>
      <c r="L1709" s="1854">
        <v>13157010500</v>
      </c>
      <c r="M1709" s="1855">
        <v>0</v>
      </c>
      <c r="N1709" s="1855">
        <v>0</v>
      </c>
      <c r="O1709" s="1856">
        <v>0</v>
      </c>
    </row>
    <row r="1710" spans="3:15" ht="13.5">
      <c r="C1710" s="1861" t="s">
        <v>5500</v>
      </c>
      <c r="D1710" s="1858">
        <v>0</v>
      </c>
      <c r="E1710" s="1858">
        <v>0</v>
      </c>
      <c r="F1710" s="1859">
        <v>0</v>
      </c>
      <c r="G1710" s="1872" t="s">
        <v>5500</v>
      </c>
      <c r="H1710" s="1856">
        <v>1</v>
      </c>
      <c r="I1710" s="1856">
        <v>0</v>
      </c>
      <c r="J1710" s="1873">
        <v>1</v>
      </c>
      <c r="K1710" s="1860"/>
      <c r="L1710" s="1854">
        <v>13157010600</v>
      </c>
      <c r="M1710" s="1855">
        <v>1</v>
      </c>
      <c r="N1710" s="1855">
        <v>0</v>
      </c>
      <c r="O1710" s="1856">
        <v>1</v>
      </c>
    </row>
    <row r="1711" spans="3:15" ht="13.5">
      <c r="C1711" s="1861" t="s">
        <v>5501</v>
      </c>
      <c r="D1711" s="1858">
        <v>0</v>
      </c>
      <c r="E1711" s="1858">
        <v>1</v>
      </c>
      <c r="F1711" s="1859">
        <v>1</v>
      </c>
      <c r="G1711" s="1872" t="s">
        <v>5501</v>
      </c>
      <c r="H1711" s="1856">
        <v>1</v>
      </c>
      <c r="I1711" s="1856">
        <v>1</v>
      </c>
      <c r="J1711" s="1873">
        <v>1</v>
      </c>
      <c r="K1711" s="1860"/>
      <c r="L1711" s="1854">
        <v>13157010701</v>
      </c>
      <c r="M1711" s="1855">
        <v>1</v>
      </c>
      <c r="N1711" s="1855">
        <v>1</v>
      </c>
      <c r="O1711" s="1856">
        <v>1</v>
      </c>
    </row>
    <row r="1712" spans="3:15" ht="13.5">
      <c r="C1712" s="1861" t="s">
        <v>5502</v>
      </c>
      <c r="D1712" s="1858">
        <v>1</v>
      </c>
      <c r="E1712" s="1858">
        <v>1</v>
      </c>
      <c r="F1712" s="1859">
        <v>2</v>
      </c>
      <c r="G1712" s="1872" t="s">
        <v>5502</v>
      </c>
      <c r="H1712" s="1856">
        <v>1</v>
      </c>
      <c r="I1712" s="1856">
        <v>1</v>
      </c>
      <c r="J1712" s="1873">
        <v>2</v>
      </c>
      <c r="K1712" s="1860"/>
      <c r="L1712" s="1854">
        <v>13157010702</v>
      </c>
      <c r="M1712" s="1855">
        <v>1</v>
      </c>
      <c r="N1712" s="1855">
        <v>1</v>
      </c>
      <c r="O1712" s="1856">
        <v>2</v>
      </c>
    </row>
    <row r="1713" spans="3:15" ht="13.5">
      <c r="C1713" s="1861" t="s">
        <v>5503</v>
      </c>
      <c r="D1713" s="1858">
        <v>1</v>
      </c>
      <c r="E1713" s="1858">
        <v>1</v>
      </c>
      <c r="F1713" s="1859">
        <v>2</v>
      </c>
      <c r="G1713" s="1872" t="s">
        <v>5503</v>
      </c>
      <c r="H1713" s="1856">
        <v>1</v>
      </c>
      <c r="I1713" s="1856">
        <v>1</v>
      </c>
      <c r="J1713" s="1873">
        <v>2</v>
      </c>
      <c r="K1713" s="1860"/>
      <c r="L1713" s="1854">
        <v>13157010703</v>
      </c>
      <c r="M1713" s="1855">
        <v>1</v>
      </c>
      <c r="N1713" s="1855">
        <v>1</v>
      </c>
      <c r="O1713" s="1856">
        <v>2</v>
      </c>
    </row>
    <row r="1714" spans="3:15" ht="13.5">
      <c r="C1714" s="1861" t="s">
        <v>5504</v>
      </c>
      <c r="D1714" s="1858">
        <v>0</v>
      </c>
      <c r="E1714" s="1858">
        <v>0</v>
      </c>
      <c r="F1714" s="1859">
        <v>0</v>
      </c>
      <c r="G1714" s="1872" t="s">
        <v>5504</v>
      </c>
      <c r="H1714" s="1856">
        <v>0</v>
      </c>
      <c r="I1714" s="1856">
        <v>0</v>
      </c>
      <c r="J1714" s="1873">
        <v>0</v>
      </c>
      <c r="K1714" s="1860"/>
      <c r="L1714" s="1854">
        <v>13159010100</v>
      </c>
      <c r="M1714" s="1855">
        <v>0</v>
      </c>
      <c r="N1714" s="1855">
        <v>0</v>
      </c>
      <c r="O1714" s="1856">
        <v>0</v>
      </c>
    </row>
    <row r="1715" spans="3:15" ht="13.5">
      <c r="C1715" s="1861" t="s">
        <v>5505</v>
      </c>
      <c r="D1715" s="1858">
        <v>1</v>
      </c>
      <c r="E1715" s="1858">
        <v>1</v>
      </c>
      <c r="F1715" s="1859">
        <v>2</v>
      </c>
      <c r="G1715" s="1872" t="s">
        <v>5505</v>
      </c>
      <c r="H1715" s="1856">
        <v>0</v>
      </c>
      <c r="I1715" s="1856">
        <v>0</v>
      </c>
      <c r="J1715" s="1873">
        <v>0</v>
      </c>
      <c r="K1715" s="1860"/>
      <c r="L1715" s="1854">
        <v>13159010200</v>
      </c>
      <c r="M1715" s="1855">
        <v>1</v>
      </c>
      <c r="N1715" s="1855">
        <v>1</v>
      </c>
      <c r="O1715" s="1856">
        <v>2</v>
      </c>
    </row>
    <row r="1716" spans="3:15" ht="13.5">
      <c r="C1716" s="1861" t="s">
        <v>5506</v>
      </c>
      <c r="D1716" s="1858">
        <v>0</v>
      </c>
      <c r="E1716" s="1858">
        <v>0</v>
      </c>
      <c r="F1716" s="1859">
        <v>0</v>
      </c>
      <c r="G1716" s="1872" t="s">
        <v>5506</v>
      </c>
      <c r="H1716" s="1856">
        <v>0</v>
      </c>
      <c r="I1716" s="1856">
        <v>0</v>
      </c>
      <c r="J1716" s="1873">
        <v>0</v>
      </c>
      <c r="K1716" s="1860"/>
      <c r="L1716" s="1854">
        <v>13159010500</v>
      </c>
      <c r="M1716" s="1855">
        <v>0</v>
      </c>
      <c r="N1716" s="1855">
        <v>0</v>
      </c>
      <c r="O1716" s="1856">
        <v>0</v>
      </c>
    </row>
    <row r="1717" spans="3:15" ht="13.5">
      <c r="C1717" s="1861" t="s">
        <v>5507</v>
      </c>
      <c r="D1717" s="1858">
        <v>0</v>
      </c>
      <c r="E1717" s="1858">
        <v>0</v>
      </c>
      <c r="F1717" s="1859">
        <v>0</v>
      </c>
      <c r="G1717" s="1872" t="s">
        <v>5507</v>
      </c>
      <c r="H1717" s="1856">
        <v>0</v>
      </c>
      <c r="I1717" s="1856">
        <v>0</v>
      </c>
      <c r="J1717" s="1873">
        <v>0</v>
      </c>
      <c r="K1717" s="1860"/>
      <c r="L1717" s="1854">
        <v>13161960100</v>
      </c>
      <c r="M1717" s="1855">
        <v>0</v>
      </c>
      <c r="N1717" s="1855">
        <v>0</v>
      </c>
      <c r="O1717" s="1856">
        <v>0</v>
      </c>
    </row>
    <row r="1718" spans="3:15" ht="13.5">
      <c r="C1718" s="1861" t="s">
        <v>5508</v>
      </c>
      <c r="D1718" s="1858">
        <v>0</v>
      </c>
      <c r="E1718" s="1858">
        <v>0</v>
      </c>
      <c r="F1718" s="1859">
        <v>0</v>
      </c>
      <c r="G1718" s="1872" t="s">
        <v>5508</v>
      </c>
      <c r="H1718" s="1856">
        <v>0</v>
      </c>
      <c r="I1718" s="1856">
        <v>0</v>
      </c>
      <c r="J1718" s="1873">
        <v>0</v>
      </c>
      <c r="K1718" s="1860"/>
      <c r="L1718" s="1854">
        <v>13161960200</v>
      </c>
      <c r="M1718" s="1855">
        <v>0</v>
      </c>
      <c r="N1718" s="1855">
        <v>0</v>
      </c>
      <c r="O1718" s="1856">
        <v>0</v>
      </c>
    </row>
    <row r="1719" spans="3:15" ht="13.5">
      <c r="C1719" s="1861" t="s">
        <v>5509</v>
      </c>
      <c r="D1719" s="1858">
        <v>0</v>
      </c>
      <c r="E1719" s="1858">
        <v>0</v>
      </c>
      <c r="F1719" s="1859">
        <v>0</v>
      </c>
      <c r="G1719" s="1872" t="s">
        <v>5509</v>
      </c>
      <c r="H1719" s="1856">
        <v>0</v>
      </c>
      <c r="I1719" s="1856">
        <v>0</v>
      </c>
      <c r="J1719" s="1873">
        <v>0</v>
      </c>
      <c r="K1719" s="1860"/>
      <c r="L1719" s="1854">
        <v>13161960300</v>
      </c>
      <c r="M1719" s="1855">
        <v>0</v>
      </c>
      <c r="N1719" s="1855">
        <v>0</v>
      </c>
      <c r="O1719" s="1856">
        <v>0</v>
      </c>
    </row>
    <row r="1720" spans="3:15" ht="13.5">
      <c r="C1720" s="1861" t="s">
        <v>5510</v>
      </c>
      <c r="D1720" s="1858">
        <v>0</v>
      </c>
      <c r="E1720" s="1858">
        <v>0</v>
      </c>
      <c r="F1720" s="1859">
        <v>0</v>
      </c>
      <c r="G1720" s="1872" t="s">
        <v>5510</v>
      </c>
      <c r="H1720" s="1856">
        <v>0</v>
      </c>
      <c r="I1720" s="1856">
        <v>0</v>
      </c>
      <c r="J1720" s="1873">
        <v>0</v>
      </c>
      <c r="K1720" s="1860"/>
      <c r="L1720" s="1854">
        <v>13163960100</v>
      </c>
      <c r="M1720" s="1855">
        <v>0</v>
      </c>
      <c r="N1720" s="1855">
        <v>0</v>
      </c>
      <c r="O1720" s="1856">
        <v>0</v>
      </c>
    </row>
    <row r="1721" spans="3:15" ht="13.5">
      <c r="C1721" s="1861" t="s">
        <v>5511</v>
      </c>
      <c r="D1721" s="1858">
        <v>0</v>
      </c>
      <c r="E1721" s="1858">
        <v>0</v>
      </c>
      <c r="F1721" s="1859">
        <v>0</v>
      </c>
      <c r="G1721" s="1872" t="s">
        <v>5511</v>
      </c>
      <c r="H1721" s="1856">
        <v>0</v>
      </c>
      <c r="I1721" s="1856">
        <v>0</v>
      </c>
      <c r="J1721" s="1873">
        <v>0</v>
      </c>
      <c r="K1721" s="1860"/>
      <c r="L1721" s="1854">
        <v>13163960200</v>
      </c>
      <c r="M1721" s="1855">
        <v>0</v>
      </c>
      <c r="N1721" s="1855">
        <v>0</v>
      </c>
      <c r="O1721" s="1856">
        <v>0</v>
      </c>
    </row>
    <row r="1722" spans="3:15" ht="13.5">
      <c r="C1722" s="1861" t="s">
        <v>5512</v>
      </c>
      <c r="D1722" s="1858">
        <v>0</v>
      </c>
      <c r="E1722" s="1858">
        <v>0</v>
      </c>
      <c r="F1722" s="1859">
        <v>0</v>
      </c>
      <c r="G1722" s="1872" t="s">
        <v>5512</v>
      </c>
      <c r="H1722" s="1856">
        <v>0</v>
      </c>
      <c r="I1722" s="1856">
        <v>0</v>
      </c>
      <c r="J1722" s="1873">
        <v>0</v>
      </c>
      <c r="K1722" s="1860"/>
      <c r="L1722" s="1854">
        <v>13163960300</v>
      </c>
      <c r="M1722" s="1855">
        <v>0</v>
      </c>
      <c r="N1722" s="1855">
        <v>0</v>
      </c>
      <c r="O1722" s="1856">
        <v>0</v>
      </c>
    </row>
    <row r="1723" spans="3:15" ht="13.5">
      <c r="C1723" s="1861" t="s">
        <v>5513</v>
      </c>
      <c r="D1723" s="1858">
        <v>0</v>
      </c>
      <c r="E1723" s="1858">
        <v>0</v>
      </c>
      <c r="F1723" s="1859">
        <v>0</v>
      </c>
      <c r="G1723" s="1872" t="s">
        <v>5513</v>
      </c>
      <c r="H1723" s="1856">
        <v>0</v>
      </c>
      <c r="I1723" s="1856" t="s">
        <v>3909</v>
      </c>
      <c r="J1723" s="1873">
        <v>0</v>
      </c>
      <c r="K1723" s="1860"/>
      <c r="L1723" s="1854">
        <v>13163960400</v>
      </c>
      <c r="M1723" s="1855">
        <v>0</v>
      </c>
      <c r="N1723" s="1855">
        <v>0</v>
      </c>
      <c r="O1723" s="1856">
        <v>0</v>
      </c>
    </row>
    <row r="1724" spans="3:15" ht="13.5">
      <c r="C1724" s="1861" t="s">
        <v>5514</v>
      </c>
      <c r="D1724" s="1858">
        <v>0</v>
      </c>
      <c r="E1724" s="1858">
        <v>0</v>
      </c>
      <c r="F1724" s="1859">
        <v>0</v>
      </c>
      <c r="G1724" s="1872" t="s">
        <v>5514</v>
      </c>
      <c r="H1724" s="1856">
        <v>0</v>
      </c>
      <c r="I1724" s="1856">
        <v>0</v>
      </c>
      <c r="J1724" s="1873">
        <v>0</v>
      </c>
      <c r="K1724" s="1860"/>
      <c r="L1724" s="1854">
        <v>13165960100</v>
      </c>
      <c r="M1724" s="1855">
        <v>0</v>
      </c>
      <c r="N1724" s="1855">
        <v>0</v>
      </c>
      <c r="O1724" s="1856">
        <v>0</v>
      </c>
    </row>
    <row r="1725" spans="3:15" ht="13.5">
      <c r="C1725" s="1861" t="s">
        <v>5515</v>
      </c>
      <c r="D1725" s="1858">
        <v>0</v>
      </c>
      <c r="E1725" s="1858">
        <v>0</v>
      </c>
      <c r="F1725" s="1859">
        <v>0</v>
      </c>
      <c r="G1725" s="1872" t="s">
        <v>5515</v>
      </c>
      <c r="H1725" s="1856">
        <v>0</v>
      </c>
      <c r="I1725" s="1856">
        <v>0</v>
      </c>
      <c r="J1725" s="1873">
        <v>0</v>
      </c>
      <c r="K1725" s="1860"/>
      <c r="L1725" s="1854">
        <v>13165960200</v>
      </c>
      <c r="M1725" s="1855">
        <v>0</v>
      </c>
      <c r="N1725" s="1855">
        <v>0</v>
      </c>
      <c r="O1725" s="1856">
        <v>0</v>
      </c>
    </row>
    <row r="1726" spans="3:15" ht="13.5">
      <c r="C1726" s="1861" t="s">
        <v>5516</v>
      </c>
      <c r="D1726" s="1858">
        <v>0</v>
      </c>
      <c r="E1726" s="1858">
        <v>0</v>
      </c>
      <c r="F1726" s="1859">
        <v>0</v>
      </c>
      <c r="G1726" s="1872" t="s">
        <v>5516</v>
      </c>
      <c r="H1726" s="1856">
        <v>0</v>
      </c>
      <c r="I1726" s="1856">
        <v>1</v>
      </c>
      <c r="J1726" s="1873">
        <v>0</v>
      </c>
      <c r="K1726" s="1860"/>
      <c r="L1726" s="1854">
        <v>13167960100</v>
      </c>
      <c r="M1726" s="1855">
        <v>0</v>
      </c>
      <c r="N1726" s="1855">
        <v>1</v>
      </c>
      <c r="O1726" s="1856">
        <v>0</v>
      </c>
    </row>
    <row r="1727" spans="3:15" ht="13.5">
      <c r="C1727" s="1861" t="s">
        <v>5517</v>
      </c>
      <c r="D1727" s="1858">
        <v>0</v>
      </c>
      <c r="E1727" s="1858">
        <v>0</v>
      </c>
      <c r="F1727" s="1859">
        <v>0</v>
      </c>
      <c r="G1727" s="1872" t="s">
        <v>5517</v>
      </c>
      <c r="H1727" s="1856">
        <v>0</v>
      </c>
      <c r="I1727" s="1856">
        <v>0</v>
      </c>
      <c r="J1727" s="1873">
        <v>0</v>
      </c>
      <c r="K1727" s="1860"/>
      <c r="L1727" s="1854">
        <v>13167960200</v>
      </c>
      <c r="M1727" s="1855">
        <v>0</v>
      </c>
      <c r="N1727" s="1855">
        <v>0</v>
      </c>
      <c r="O1727" s="1856">
        <v>0</v>
      </c>
    </row>
    <row r="1728" spans="3:15" ht="13.5">
      <c r="C1728" s="1861" t="s">
        <v>5518</v>
      </c>
      <c r="D1728" s="1858">
        <v>0</v>
      </c>
      <c r="E1728" s="1858">
        <v>0</v>
      </c>
      <c r="F1728" s="1859">
        <v>0</v>
      </c>
      <c r="G1728" s="1872" t="s">
        <v>5518</v>
      </c>
      <c r="H1728" s="1856">
        <v>1</v>
      </c>
      <c r="I1728" s="1856">
        <v>1</v>
      </c>
      <c r="J1728" s="1873">
        <v>2</v>
      </c>
      <c r="K1728" s="1860"/>
      <c r="L1728" s="1854">
        <v>13167960300</v>
      </c>
      <c r="M1728" s="1855">
        <v>1</v>
      </c>
      <c r="N1728" s="1855">
        <v>1</v>
      </c>
      <c r="O1728" s="1856">
        <v>2</v>
      </c>
    </row>
    <row r="1729" spans="3:15" ht="13.5">
      <c r="C1729" s="1861" t="s">
        <v>5519</v>
      </c>
      <c r="D1729" s="1858">
        <v>1</v>
      </c>
      <c r="E1729" s="1858">
        <v>1</v>
      </c>
      <c r="F1729" s="1859">
        <v>2</v>
      </c>
      <c r="G1729" s="1872" t="s">
        <v>5519</v>
      </c>
      <c r="H1729" s="1856">
        <v>1</v>
      </c>
      <c r="I1729" s="1856">
        <v>1</v>
      </c>
      <c r="J1729" s="1873">
        <v>2</v>
      </c>
      <c r="K1729" s="1860"/>
      <c r="L1729" s="1854">
        <v>13169030101</v>
      </c>
      <c r="M1729" s="1855">
        <v>1</v>
      </c>
      <c r="N1729" s="1855">
        <v>1</v>
      </c>
      <c r="O1729" s="1856">
        <v>2</v>
      </c>
    </row>
    <row r="1730" spans="3:15" ht="13.5">
      <c r="C1730" s="1861" t="s">
        <v>5520</v>
      </c>
      <c r="D1730" s="1858">
        <v>1</v>
      </c>
      <c r="E1730" s="1858">
        <v>1</v>
      </c>
      <c r="F1730" s="1859">
        <v>2</v>
      </c>
      <c r="G1730" s="1872" t="s">
        <v>5520</v>
      </c>
      <c r="H1730" s="1856">
        <v>1</v>
      </c>
      <c r="I1730" s="1856">
        <v>0</v>
      </c>
      <c r="J1730" s="1873">
        <v>1</v>
      </c>
      <c r="K1730" s="1860"/>
      <c r="L1730" s="1854">
        <v>13169030103</v>
      </c>
      <c r="M1730" s="1855">
        <v>1</v>
      </c>
      <c r="N1730" s="1855">
        <v>1</v>
      </c>
      <c r="O1730" s="1856">
        <v>2</v>
      </c>
    </row>
    <row r="1731" spans="3:15" ht="13.5">
      <c r="C1731" s="1861" t="s">
        <v>5521</v>
      </c>
      <c r="D1731" s="1858">
        <v>0</v>
      </c>
      <c r="E1731" s="1858">
        <v>0</v>
      </c>
      <c r="F1731" s="1859">
        <v>0</v>
      </c>
      <c r="G1731" s="1872" t="s">
        <v>5521</v>
      </c>
      <c r="H1731" s="1856">
        <v>0</v>
      </c>
      <c r="I1731" s="1856">
        <v>0</v>
      </c>
      <c r="J1731" s="1873">
        <v>0</v>
      </c>
      <c r="K1731" s="1860"/>
      <c r="L1731" s="1854">
        <v>13169030104</v>
      </c>
      <c r="M1731" s="1855">
        <v>0</v>
      </c>
      <c r="N1731" s="1855">
        <v>0</v>
      </c>
      <c r="O1731" s="1856">
        <v>0</v>
      </c>
    </row>
    <row r="1732" spans="3:15" ht="13.5">
      <c r="C1732" s="1861" t="s">
        <v>5522</v>
      </c>
      <c r="D1732" s="1858">
        <v>0</v>
      </c>
      <c r="E1732" s="1858">
        <v>0</v>
      </c>
      <c r="F1732" s="1859">
        <v>0</v>
      </c>
      <c r="G1732" s="1872" t="s">
        <v>5522</v>
      </c>
      <c r="H1732" s="1856">
        <v>0</v>
      </c>
      <c r="I1732" s="1856">
        <v>0</v>
      </c>
      <c r="J1732" s="1873">
        <v>0</v>
      </c>
      <c r="K1732" s="1860"/>
      <c r="L1732" s="1854">
        <v>13169030200</v>
      </c>
      <c r="M1732" s="1855">
        <v>0</v>
      </c>
      <c r="N1732" s="1855">
        <v>0</v>
      </c>
      <c r="O1732" s="1856">
        <v>0</v>
      </c>
    </row>
    <row r="1733" spans="3:15" ht="13.5">
      <c r="C1733" s="1861" t="s">
        <v>5523</v>
      </c>
      <c r="D1733" s="1858">
        <v>1</v>
      </c>
      <c r="E1733" s="1858">
        <v>1</v>
      </c>
      <c r="F1733" s="1859">
        <v>2</v>
      </c>
      <c r="G1733" s="1872" t="s">
        <v>5523</v>
      </c>
      <c r="H1733" s="1856">
        <v>1</v>
      </c>
      <c r="I1733" s="1856">
        <v>1</v>
      </c>
      <c r="J1733" s="1873">
        <v>2</v>
      </c>
      <c r="K1733" s="1860"/>
      <c r="L1733" s="1854">
        <v>13169030301</v>
      </c>
      <c r="M1733" s="1855">
        <v>1</v>
      </c>
      <c r="N1733" s="1855">
        <v>1</v>
      </c>
      <c r="O1733" s="1856">
        <v>2</v>
      </c>
    </row>
    <row r="1734" spans="3:15" ht="13.5">
      <c r="C1734" s="1861" t="s">
        <v>5524</v>
      </c>
      <c r="D1734" s="1858">
        <v>0</v>
      </c>
      <c r="E1734" s="1858">
        <v>1</v>
      </c>
      <c r="F1734" s="1859">
        <v>1</v>
      </c>
      <c r="G1734" s="1872" t="s">
        <v>5524</v>
      </c>
      <c r="H1734" s="1856">
        <v>0</v>
      </c>
      <c r="I1734" s="1856">
        <v>0</v>
      </c>
      <c r="J1734" s="1873">
        <v>0</v>
      </c>
      <c r="K1734" s="1860"/>
      <c r="L1734" s="1854">
        <v>13169030302</v>
      </c>
      <c r="M1734" s="1855">
        <v>0</v>
      </c>
      <c r="N1734" s="1855">
        <v>1</v>
      </c>
      <c r="O1734" s="1856">
        <v>1</v>
      </c>
    </row>
    <row r="1735" spans="3:15" ht="13.5">
      <c r="C1735" s="1861" t="s">
        <v>5525</v>
      </c>
      <c r="D1735" s="1858">
        <v>0</v>
      </c>
      <c r="E1735" s="1858">
        <v>0</v>
      </c>
      <c r="F1735" s="1859">
        <v>0</v>
      </c>
      <c r="G1735" s="1872" t="s">
        <v>5525</v>
      </c>
      <c r="H1735" s="1856">
        <v>0</v>
      </c>
      <c r="I1735" s="1856">
        <v>0</v>
      </c>
      <c r="J1735" s="1873">
        <v>0</v>
      </c>
      <c r="K1735" s="1860"/>
      <c r="L1735" s="1854">
        <v>13171970100</v>
      </c>
      <c r="M1735" s="1855">
        <v>0</v>
      </c>
      <c r="N1735" s="1855">
        <v>0</v>
      </c>
      <c r="O1735" s="1856">
        <v>0</v>
      </c>
    </row>
    <row r="1736" spans="3:15" ht="13.5">
      <c r="C1736" s="1861" t="s">
        <v>5526</v>
      </c>
      <c r="D1736" s="1858">
        <v>0</v>
      </c>
      <c r="E1736" s="1858">
        <v>0</v>
      </c>
      <c r="F1736" s="1859">
        <v>0</v>
      </c>
      <c r="G1736" s="1872" t="s">
        <v>5526</v>
      </c>
      <c r="H1736" s="1856">
        <v>0</v>
      </c>
      <c r="I1736" s="1856">
        <v>0</v>
      </c>
      <c r="J1736" s="1873">
        <v>0</v>
      </c>
      <c r="K1736" s="1860"/>
      <c r="L1736" s="1854">
        <v>13171970200</v>
      </c>
      <c r="M1736" s="1855">
        <v>0</v>
      </c>
      <c r="N1736" s="1855">
        <v>0</v>
      </c>
      <c r="O1736" s="1856">
        <v>0</v>
      </c>
    </row>
    <row r="1737" spans="3:15" ht="13.5">
      <c r="C1737" s="1861" t="s">
        <v>5527</v>
      </c>
      <c r="D1737" s="1858">
        <v>0</v>
      </c>
      <c r="E1737" s="1858">
        <v>0</v>
      </c>
      <c r="F1737" s="1859">
        <v>0</v>
      </c>
      <c r="G1737" s="1872" t="s">
        <v>5527</v>
      </c>
      <c r="H1737" s="1856">
        <v>0</v>
      </c>
      <c r="I1737" s="1856">
        <v>0</v>
      </c>
      <c r="J1737" s="1873">
        <v>0</v>
      </c>
      <c r="K1737" s="1860"/>
      <c r="L1737" s="1854">
        <v>13171970300</v>
      </c>
      <c r="M1737" s="1855">
        <v>0</v>
      </c>
      <c r="N1737" s="1855">
        <v>0</v>
      </c>
      <c r="O1737" s="1856">
        <v>0</v>
      </c>
    </row>
    <row r="1738" spans="3:15" ht="13.5">
      <c r="C1738" s="1861" t="s">
        <v>5528</v>
      </c>
      <c r="D1738" s="1858">
        <v>0</v>
      </c>
      <c r="E1738" s="1858">
        <v>0</v>
      </c>
      <c r="F1738" s="1859">
        <v>0</v>
      </c>
      <c r="G1738" s="1872" t="s">
        <v>5528</v>
      </c>
      <c r="H1738" s="1856">
        <v>0</v>
      </c>
      <c r="I1738" s="1856">
        <v>0</v>
      </c>
      <c r="J1738" s="1873">
        <v>0</v>
      </c>
      <c r="K1738" s="1860"/>
      <c r="L1738" s="1854">
        <v>13173950100</v>
      </c>
      <c r="M1738" s="1855">
        <v>0</v>
      </c>
      <c r="N1738" s="1855">
        <v>0</v>
      </c>
      <c r="O1738" s="1856">
        <v>0</v>
      </c>
    </row>
    <row r="1739" spans="3:15" ht="13.5">
      <c r="C1739" s="1861" t="s">
        <v>5529</v>
      </c>
      <c r="D1739" s="1858">
        <v>0</v>
      </c>
      <c r="E1739" s="1858">
        <v>0</v>
      </c>
      <c r="F1739" s="1859">
        <v>0</v>
      </c>
      <c r="G1739" s="1872" t="s">
        <v>5529</v>
      </c>
      <c r="H1739" s="1856">
        <v>0</v>
      </c>
      <c r="I1739" s="1856">
        <v>0</v>
      </c>
      <c r="J1739" s="1873">
        <v>0</v>
      </c>
      <c r="K1739" s="1860"/>
      <c r="L1739" s="1854">
        <v>13173950200</v>
      </c>
      <c r="M1739" s="1855">
        <v>0</v>
      </c>
      <c r="N1739" s="1855">
        <v>0</v>
      </c>
      <c r="O1739" s="1856">
        <v>0</v>
      </c>
    </row>
    <row r="1740" spans="3:15" ht="13.5">
      <c r="C1740" s="1861" t="s">
        <v>5530</v>
      </c>
      <c r="D1740" s="1858">
        <v>0</v>
      </c>
      <c r="E1740" s="1858">
        <v>0</v>
      </c>
      <c r="F1740" s="1859">
        <v>0</v>
      </c>
      <c r="G1740" s="1872" t="s">
        <v>5530</v>
      </c>
      <c r="H1740" s="1856">
        <v>0</v>
      </c>
      <c r="I1740" s="1856">
        <v>0</v>
      </c>
      <c r="J1740" s="1873">
        <v>0</v>
      </c>
      <c r="K1740" s="1860"/>
      <c r="L1740" s="1854">
        <v>13175950100</v>
      </c>
      <c r="M1740" s="1855">
        <v>0</v>
      </c>
      <c r="N1740" s="1855">
        <v>0</v>
      </c>
      <c r="O1740" s="1856">
        <v>0</v>
      </c>
    </row>
    <row r="1741" spans="3:15" ht="13.5">
      <c r="C1741" s="1861" t="s">
        <v>5531</v>
      </c>
      <c r="D1741" s="1858">
        <v>0</v>
      </c>
      <c r="E1741" s="1858">
        <v>1</v>
      </c>
      <c r="F1741" s="1859">
        <v>1</v>
      </c>
      <c r="G1741" s="1872" t="s">
        <v>5531</v>
      </c>
      <c r="H1741" s="1856">
        <v>1</v>
      </c>
      <c r="I1741" s="1856">
        <v>1</v>
      </c>
      <c r="J1741" s="1873">
        <v>2</v>
      </c>
      <c r="K1741" s="1860"/>
      <c r="L1741" s="1854">
        <v>13175950201</v>
      </c>
      <c r="M1741" s="1855">
        <v>1</v>
      </c>
      <c r="N1741" s="1855">
        <v>1</v>
      </c>
      <c r="O1741" s="1856">
        <v>2</v>
      </c>
    </row>
    <row r="1742" spans="3:15" ht="13.5">
      <c r="C1742" s="1861" t="s">
        <v>5532</v>
      </c>
      <c r="D1742" s="1858">
        <v>1</v>
      </c>
      <c r="E1742" s="1858">
        <v>1</v>
      </c>
      <c r="F1742" s="1859">
        <v>2</v>
      </c>
      <c r="G1742" s="1872" t="s">
        <v>5532</v>
      </c>
      <c r="H1742" s="1856">
        <v>1</v>
      </c>
      <c r="I1742" s="1856">
        <v>1</v>
      </c>
      <c r="J1742" s="1873">
        <v>2</v>
      </c>
      <c r="K1742" s="1860"/>
      <c r="L1742" s="1854">
        <v>13175950202</v>
      </c>
      <c r="M1742" s="1855">
        <v>1</v>
      </c>
      <c r="N1742" s="1855">
        <v>1</v>
      </c>
      <c r="O1742" s="1856">
        <v>2</v>
      </c>
    </row>
    <row r="1743" spans="3:15" ht="13.5">
      <c r="C1743" s="1861" t="s">
        <v>5533</v>
      </c>
      <c r="D1743" s="1858">
        <v>0</v>
      </c>
      <c r="E1743" s="1858">
        <v>0</v>
      </c>
      <c r="F1743" s="1859">
        <v>0</v>
      </c>
      <c r="G1743" s="1872" t="s">
        <v>5533</v>
      </c>
      <c r="H1743" s="1856">
        <v>0</v>
      </c>
      <c r="I1743" s="1856">
        <v>0</v>
      </c>
      <c r="J1743" s="1873">
        <v>0</v>
      </c>
      <c r="K1743" s="1860"/>
      <c r="L1743" s="1854">
        <v>13175950300</v>
      </c>
      <c r="M1743" s="1855">
        <v>0</v>
      </c>
      <c r="N1743" s="1855">
        <v>0</v>
      </c>
      <c r="O1743" s="1856">
        <v>0</v>
      </c>
    </row>
    <row r="1744" spans="3:15" ht="13.5">
      <c r="C1744" s="1861" t="s">
        <v>5534</v>
      </c>
      <c r="D1744" s="1858">
        <v>0</v>
      </c>
      <c r="E1744" s="1858">
        <v>0</v>
      </c>
      <c r="F1744" s="1859">
        <v>0</v>
      </c>
      <c r="G1744" s="1872" t="s">
        <v>5534</v>
      </c>
      <c r="H1744" s="1856">
        <v>0</v>
      </c>
      <c r="I1744" s="1856">
        <v>0</v>
      </c>
      <c r="J1744" s="1873">
        <v>0</v>
      </c>
      <c r="K1744" s="1860"/>
      <c r="L1744" s="1854">
        <v>13175950400</v>
      </c>
      <c r="M1744" s="1855">
        <v>0</v>
      </c>
      <c r="N1744" s="1855">
        <v>0</v>
      </c>
      <c r="O1744" s="1856">
        <v>0</v>
      </c>
    </row>
    <row r="1745" spans="3:15" ht="13.5">
      <c r="C1745" s="1861" t="s">
        <v>5535</v>
      </c>
      <c r="D1745" s="1858">
        <v>0</v>
      </c>
      <c r="E1745" s="1858">
        <v>0</v>
      </c>
      <c r="F1745" s="1859">
        <v>0</v>
      </c>
      <c r="G1745" s="1872" t="s">
        <v>5535</v>
      </c>
      <c r="H1745" s="1856">
        <v>0</v>
      </c>
      <c r="I1745" s="1856">
        <v>0</v>
      </c>
      <c r="J1745" s="1873">
        <v>0</v>
      </c>
      <c r="K1745" s="1860"/>
      <c r="L1745" s="1854">
        <v>13175950500</v>
      </c>
      <c r="M1745" s="1855">
        <v>0</v>
      </c>
      <c r="N1745" s="1855">
        <v>0</v>
      </c>
      <c r="O1745" s="1856">
        <v>0</v>
      </c>
    </row>
    <row r="1746" spans="3:15" ht="13.5">
      <c r="C1746" s="1861" t="s">
        <v>5536</v>
      </c>
      <c r="D1746" s="1858">
        <v>1</v>
      </c>
      <c r="E1746" s="1858">
        <v>0</v>
      </c>
      <c r="F1746" s="1859">
        <v>1</v>
      </c>
      <c r="G1746" s="1872" t="s">
        <v>5536</v>
      </c>
      <c r="H1746" s="1856">
        <v>0</v>
      </c>
      <c r="I1746" s="1856">
        <v>1</v>
      </c>
      <c r="J1746" s="1873">
        <v>1</v>
      </c>
      <c r="K1746" s="1860"/>
      <c r="L1746" s="1854">
        <v>13175950600</v>
      </c>
      <c r="M1746" s="1855">
        <v>1</v>
      </c>
      <c r="N1746" s="1855">
        <v>1</v>
      </c>
      <c r="O1746" s="1856">
        <v>1</v>
      </c>
    </row>
    <row r="1747" spans="3:15" ht="13.5">
      <c r="C1747" s="1861" t="s">
        <v>5537</v>
      </c>
      <c r="D1747" s="1858">
        <v>0</v>
      </c>
      <c r="E1747" s="1858">
        <v>0</v>
      </c>
      <c r="F1747" s="1859">
        <v>0</v>
      </c>
      <c r="G1747" s="1872" t="s">
        <v>5537</v>
      </c>
      <c r="H1747" s="1856">
        <v>0</v>
      </c>
      <c r="I1747" s="1856">
        <v>1</v>
      </c>
      <c r="J1747" s="1873">
        <v>1</v>
      </c>
      <c r="K1747" s="1860"/>
      <c r="L1747" s="1854">
        <v>13175950700</v>
      </c>
      <c r="M1747" s="1855">
        <v>0</v>
      </c>
      <c r="N1747" s="1855">
        <v>1</v>
      </c>
      <c r="O1747" s="1856">
        <v>1</v>
      </c>
    </row>
    <row r="1748" spans="3:15" ht="13.5">
      <c r="C1748" s="1861" t="s">
        <v>5538</v>
      </c>
      <c r="D1748" s="1858">
        <v>0</v>
      </c>
      <c r="E1748" s="1858">
        <v>0</v>
      </c>
      <c r="F1748" s="1859">
        <v>0</v>
      </c>
      <c r="G1748" s="1872" t="s">
        <v>5538</v>
      </c>
      <c r="H1748" s="1856">
        <v>0</v>
      </c>
      <c r="I1748" s="1856">
        <v>0</v>
      </c>
      <c r="J1748" s="1873">
        <v>0</v>
      </c>
      <c r="K1748" s="1860"/>
      <c r="L1748" s="1854">
        <v>13175950800</v>
      </c>
      <c r="M1748" s="1855">
        <v>0</v>
      </c>
      <c r="N1748" s="1855">
        <v>0</v>
      </c>
      <c r="O1748" s="1856">
        <v>0</v>
      </c>
    </row>
    <row r="1749" spans="3:15" ht="13.5">
      <c r="C1749" s="1861" t="s">
        <v>5539</v>
      </c>
      <c r="D1749" s="1858">
        <v>0</v>
      </c>
      <c r="E1749" s="1858">
        <v>0</v>
      </c>
      <c r="F1749" s="1859">
        <v>0</v>
      </c>
      <c r="G1749" s="1872" t="s">
        <v>5539</v>
      </c>
      <c r="H1749" s="1856">
        <v>0</v>
      </c>
      <c r="I1749" s="1856">
        <v>0</v>
      </c>
      <c r="J1749" s="1873">
        <v>0</v>
      </c>
      <c r="K1749" s="1860"/>
      <c r="L1749" s="1854">
        <v>13175950900</v>
      </c>
      <c r="M1749" s="1855">
        <v>0</v>
      </c>
      <c r="N1749" s="1855">
        <v>0</v>
      </c>
      <c r="O1749" s="1856">
        <v>0</v>
      </c>
    </row>
    <row r="1750" spans="3:15" ht="13.5">
      <c r="C1750" s="1861" t="s">
        <v>5540</v>
      </c>
      <c r="D1750" s="1858">
        <v>0</v>
      </c>
      <c r="E1750" s="1858">
        <v>0</v>
      </c>
      <c r="F1750" s="1859">
        <v>0</v>
      </c>
      <c r="G1750" s="1872" t="s">
        <v>5540</v>
      </c>
      <c r="H1750" s="1856">
        <v>0</v>
      </c>
      <c r="I1750" s="1856">
        <v>0</v>
      </c>
      <c r="J1750" s="1873">
        <v>0</v>
      </c>
      <c r="K1750" s="1860"/>
      <c r="L1750" s="1854">
        <v>13175951000</v>
      </c>
      <c r="M1750" s="1855">
        <v>0</v>
      </c>
      <c r="N1750" s="1855">
        <v>0</v>
      </c>
      <c r="O1750" s="1856">
        <v>0</v>
      </c>
    </row>
    <row r="1751" spans="3:15" ht="13.5">
      <c r="C1751" s="1861" t="s">
        <v>5541</v>
      </c>
      <c r="D1751" s="1858">
        <v>0</v>
      </c>
      <c r="E1751" s="1858">
        <v>0</v>
      </c>
      <c r="F1751" s="1859">
        <v>0</v>
      </c>
      <c r="G1751" s="1872" t="s">
        <v>5541</v>
      </c>
      <c r="H1751" s="1856">
        <v>0</v>
      </c>
      <c r="I1751" s="1856">
        <v>0</v>
      </c>
      <c r="J1751" s="1873">
        <v>0</v>
      </c>
      <c r="K1751" s="1860"/>
      <c r="L1751" s="1854">
        <v>13175951100</v>
      </c>
      <c r="M1751" s="1855">
        <v>0</v>
      </c>
      <c r="N1751" s="1855">
        <v>0</v>
      </c>
      <c r="O1751" s="1856">
        <v>0</v>
      </c>
    </row>
    <row r="1752" spans="3:15" ht="13.5">
      <c r="C1752" s="1861" t="s">
        <v>5542</v>
      </c>
      <c r="D1752" s="1858">
        <v>0</v>
      </c>
      <c r="E1752" s="1858">
        <v>0</v>
      </c>
      <c r="F1752" s="1859">
        <v>0</v>
      </c>
      <c r="G1752" s="1872" t="s">
        <v>5542</v>
      </c>
      <c r="H1752" s="1856">
        <v>0</v>
      </c>
      <c r="I1752" s="1856" t="s">
        <v>3909</v>
      </c>
      <c r="J1752" s="1873">
        <v>0</v>
      </c>
      <c r="K1752" s="1860"/>
      <c r="L1752" s="1854">
        <v>13175951400</v>
      </c>
      <c r="M1752" s="1855">
        <v>0</v>
      </c>
      <c r="N1752" s="1855">
        <v>0</v>
      </c>
      <c r="O1752" s="1856">
        <v>0</v>
      </c>
    </row>
    <row r="1753" spans="3:15" ht="13.5">
      <c r="C1753" s="1861" t="s">
        <v>5543</v>
      </c>
      <c r="D1753" s="1858">
        <v>1</v>
      </c>
      <c r="E1753" s="1858">
        <v>1</v>
      </c>
      <c r="F1753" s="1859">
        <v>2</v>
      </c>
      <c r="G1753" s="1872" t="s">
        <v>5543</v>
      </c>
      <c r="H1753" s="1856">
        <v>0</v>
      </c>
      <c r="I1753" s="1856">
        <v>1</v>
      </c>
      <c r="J1753" s="1873">
        <v>1</v>
      </c>
      <c r="K1753" s="1860"/>
      <c r="L1753" s="1854">
        <v>13177020100</v>
      </c>
      <c r="M1753" s="1855">
        <v>1</v>
      </c>
      <c r="N1753" s="1855">
        <v>1</v>
      </c>
      <c r="O1753" s="1856">
        <v>2</v>
      </c>
    </row>
    <row r="1754" spans="3:15" ht="13.5">
      <c r="C1754" s="1861" t="s">
        <v>5544</v>
      </c>
      <c r="D1754" s="1858">
        <v>0</v>
      </c>
      <c r="E1754" s="1858">
        <v>0</v>
      </c>
      <c r="F1754" s="1859">
        <v>0</v>
      </c>
      <c r="G1754" s="1872" t="s">
        <v>5544</v>
      </c>
      <c r="H1754" s="1856">
        <v>0</v>
      </c>
      <c r="I1754" s="1856" t="s">
        <v>3909</v>
      </c>
      <c r="J1754" s="1873">
        <v>0</v>
      </c>
      <c r="K1754" s="1860"/>
      <c r="L1754" s="1854">
        <v>13177020200</v>
      </c>
      <c r="M1754" s="1855">
        <v>0</v>
      </c>
      <c r="N1754" s="1855">
        <v>0</v>
      </c>
      <c r="O1754" s="1856">
        <v>0</v>
      </c>
    </row>
    <row r="1755" spans="3:15" ht="13.5">
      <c r="C1755" s="1861" t="s">
        <v>5545</v>
      </c>
      <c r="D1755" s="1858">
        <v>0</v>
      </c>
      <c r="E1755" s="1858">
        <v>1</v>
      </c>
      <c r="F1755" s="1859">
        <v>1</v>
      </c>
      <c r="G1755" s="1872" t="s">
        <v>5545</v>
      </c>
      <c r="H1755" s="1856">
        <v>0</v>
      </c>
      <c r="I1755" s="1856">
        <v>0</v>
      </c>
      <c r="J1755" s="1873">
        <v>0</v>
      </c>
      <c r="K1755" s="1860"/>
      <c r="L1755" s="1854">
        <v>13177020300</v>
      </c>
      <c r="M1755" s="1855">
        <v>0</v>
      </c>
      <c r="N1755" s="1855">
        <v>1</v>
      </c>
      <c r="O1755" s="1856">
        <v>1</v>
      </c>
    </row>
    <row r="1756" spans="3:15" ht="13.5">
      <c r="C1756" s="1861" t="s">
        <v>5546</v>
      </c>
      <c r="D1756" s="1858">
        <v>1</v>
      </c>
      <c r="E1756" s="1858">
        <v>1</v>
      </c>
      <c r="F1756" s="1859">
        <v>2</v>
      </c>
      <c r="G1756" s="1872" t="s">
        <v>5546</v>
      </c>
      <c r="H1756" s="1856">
        <v>1</v>
      </c>
      <c r="I1756" s="1856">
        <v>0</v>
      </c>
      <c r="J1756" s="1873">
        <v>1</v>
      </c>
      <c r="K1756" s="1860"/>
      <c r="L1756" s="1854">
        <v>13177020402</v>
      </c>
      <c r="M1756" s="1855">
        <v>1</v>
      </c>
      <c r="N1756" s="1855">
        <v>1</v>
      </c>
      <c r="O1756" s="1856">
        <v>2</v>
      </c>
    </row>
    <row r="1757" spans="3:15" ht="13.5">
      <c r="C1757" s="1861" t="s">
        <v>5547</v>
      </c>
      <c r="D1757" s="1858">
        <v>1</v>
      </c>
      <c r="E1757" s="1858">
        <v>1</v>
      </c>
      <c r="F1757" s="1859">
        <v>2</v>
      </c>
      <c r="G1757" s="1872" t="s">
        <v>5547</v>
      </c>
      <c r="H1757" s="1856">
        <v>1</v>
      </c>
      <c r="I1757" s="1856">
        <v>1</v>
      </c>
      <c r="J1757" s="1873">
        <v>2</v>
      </c>
      <c r="K1757" s="1860"/>
      <c r="L1757" s="1854">
        <v>13177020403</v>
      </c>
      <c r="M1757" s="1855">
        <v>1</v>
      </c>
      <c r="N1757" s="1855">
        <v>1</v>
      </c>
      <c r="O1757" s="1856">
        <v>2</v>
      </c>
    </row>
    <row r="1758" spans="3:15" ht="13.5">
      <c r="C1758" s="1861" t="s">
        <v>5548</v>
      </c>
      <c r="D1758" s="1858">
        <v>0</v>
      </c>
      <c r="E1758" s="1858">
        <v>1</v>
      </c>
      <c r="F1758" s="1859">
        <v>1</v>
      </c>
      <c r="G1758" s="1872" t="s">
        <v>5548</v>
      </c>
      <c r="H1758" s="1856">
        <v>0</v>
      </c>
      <c r="I1758" s="1856" t="s">
        <v>3909</v>
      </c>
      <c r="J1758" s="1873">
        <v>0</v>
      </c>
      <c r="K1758" s="1860"/>
      <c r="L1758" s="1854">
        <v>13179010101</v>
      </c>
      <c r="M1758" s="1855">
        <v>0</v>
      </c>
      <c r="N1758" s="1855">
        <v>1</v>
      </c>
      <c r="O1758" s="1856">
        <v>1</v>
      </c>
    </row>
    <row r="1759" spans="3:15" ht="13.5">
      <c r="C1759" s="1861" t="s">
        <v>5549</v>
      </c>
      <c r="D1759" s="1858">
        <v>1</v>
      </c>
      <c r="E1759" s="1858">
        <v>1</v>
      </c>
      <c r="F1759" s="1859">
        <v>2</v>
      </c>
      <c r="G1759" s="1872" t="s">
        <v>5549</v>
      </c>
      <c r="H1759" s="1856">
        <v>1</v>
      </c>
      <c r="I1759" s="1856" t="s">
        <v>3909</v>
      </c>
      <c r="J1759" s="1873">
        <v>1</v>
      </c>
      <c r="K1759" s="1860"/>
      <c r="L1759" s="1854">
        <v>13179010102</v>
      </c>
      <c r="M1759" s="1855">
        <v>1</v>
      </c>
      <c r="N1759" s="1855">
        <v>1</v>
      </c>
      <c r="O1759" s="1856">
        <v>2</v>
      </c>
    </row>
    <row r="1760" spans="3:15" ht="13.5">
      <c r="C1760" s="1861" t="s">
        <v>5550</v>
      </c>
      <c r="D1760" s="1858">
        <v>0</v>
      </c>
      <c r="E1760" s="1858">
        <v>1</v>
      </c>
      <c r="F1760" s="1859">
        <v>1</v>
      </c>
      <c r="G1760" s="1872" t="s">
        <v>5550</v>
      </c>
      <c r="H1760" s="1856">
        <v>0</v>
      </c>
      <c r="I1760" s="1856" t="s">
        <v>3909</v>
      </c>
      <c r="J1760" s="1873">
        <v>0</v>
      </c>
      <c r="K1760" s="1860"/>
      <c r="L1760" s="1854">
        <v>13179010103</v>
      </c>
      <c r="M1760" s="1855">
        <v>0</v>
      </c>
      <c r="N1760" s="1855">
        <v>1</v>
      </c>
      <c r="O1760" s="1856">
        <v>1</v>
      </c>
    </row>
    <row r="1761" spans="3:15" ht="13.5">
      <c r="C1761" s="1861" t="s">
        <v>5551</v>
      </c>
      <c r="D1761" s="1858">
        <v>0</v>
      </c>
      <c r="E1761" s="1858">
        <v>1</v>
      </c>
      <c r="F1761" s="1859">
        <v>1</v>
      </c>
      <c r="G1761" s="1872" t="s">
        <v>5551</v>
      </c>
      <c r="H1761" s="1856">
        <v>0</v>
      </c>
      <c r="I1761" s="1856">
        <v>1</v>
      </c>
      <c r="J1761" s="1873">
        <v>1</v>
      </c>
      <c r="K1761" s="1860"/>
      <c r="L1761" s="1854">
        <v>13179010202</v>
      </c>
      <c r="M1761" s="1855">
        <v>0</v>
      </c>
      <c r="N1761" s="1855">
        <v>1</v>
      </c>
      <c r="O1761" s="1856">
        <v>1</v>
      </c>
    </row>
    <row r="1762" spans="3:15" ht="13.5">
      <c r="C1762" s="1861" t="s">
        <v>5552</v>
      </c>
      <c r="D1762" s="1858">
        <v>0</v>
      </c>
      <c r="E1762" s="1858">
        <v>0</v>
      </c>
      <c r="F1762" s="1859">
        <v>0</v>
      </c>
      <c r="G1762" s="1872" t="s">
        <v>5552</v>
      </c>
      <c r="H1762" s="1856">
        <v>0</v>
      </c>
      <c r="I1762" s="1856">
        <v>0</v>
      </c>
      <c r="J1762" s="1873">
        <v>0</v>
      </c>
      <c r="K1762" s="1860"/>
      <c r="L1762" s="1854">
        <v>13179010204</v>
      </c>
      <c r="M1762" s="1855">
        <v>0</v>
      </c>
      <c r="N1762" s="1855">
        <v>0</v>
      </c>
      <c r="O1762" s="1856">
        <v>0</v>
      </c>
    </row>
    <row r="1763" spans="3:15" ht="13.5">
      <c r="C1763" s="1861" t="s">
        <v>5553</v>
      </c>
      <c r="D1763" s="1858">
        <v>0</v>
      </c>
      <c r="E1763" s="1858">
        <v>1</v>
      </c>
      <c r="F1763" s="1859">
        <v>1</v>
      </c>
      <c r="G1763" s="1872" t="s">
        <v>5553</v>
      </c>
      <c r="H1763" s="1856">
        <v>0</v>
      </c>
      <c r="I1763" s="1856">
        <v>0</v>
      </c>
      <c r="J1763" s="1873">
        <v>0</v>
      </c>
      <c r="K1763" s="1860"/>
      <c r="L1763" s="1854">
        <v>13179010205</v>
      </c>
      <c r="M1763" s="1855">
        <v>0</v>
      </c>
      <c r="N1763" s="1855">
        <v>1</v>
      </c>
      <c r="O1763" s="1856">
        <v>1</v>
      </c>
    </row>
    <row r="1764" spans="3:15" ht="13.5">
      <c r="C1764" s="1861" t="s">
        <v>5554</v>
      </c>
      <c r="D1764" s="1858">
        <v>0</v>
      </c>
      <c r="E1764" s="1858">
        <v>1</v>
      </c>
      <c r="F1764" s="1859">
        <v>1</v>
      </c>
      <c r="G1764" s="1872" t="s">
        <v>5554</v>
      </c>
      <c r="H1764" s="1856">
        <v>0</v>
      </c>
      <c r="I1764" s="1856">
        <v>1</v>
      </c>
      <c r="J1764" s="1873">
        <v>1</v>
      </c>
      <c r="K1764" s="1860"/>
      <c r="L1764" s="1854">
        <v>13179010206</v>
      </c>
      <c r="M1764" s="1855">
        <v>0</v>
      </c>
      <c r="N1764" s="1855">
        <v>1</v>
      </c>
      <c r="O1764" s="1856">
        <v>1</v>
      </c>
    </row>
    <row r="1765" spans="3:15" ht="13.5">
      <c r="C1765" s="1861" t="s">
        <v>5555</v>
      </c>
      <c r="D1765" s="1858">
        <v>0</v>
      </c>
      <c r="E1765" s="1858">
        <v>0</v>
      </c>
      <c r="F1765" s="1859">
        <v>0</v>
      </c>
      <c r="G1765" s="1872" t="s">
        <v>5555</v>
      </c>
      <c r="H1765" s="1856">
        <v>0</v>
      </c>
      <c r="I1765" s="1856">
        <v>0</v>
      </c>
      <c r="J1765" s="1873">
        <v>0</v>
      </c>
      <c r="K1765" s="1860"/>
      <c r="L1765" s="1854">
        <v>13179010207</v>
      </c>
      <c r="M1765" s="1855">
        <v>0</v>
      </c>
      <c r="N1765" s="1855">
        <v>0</v>
      </c>
      <c r="O1765" s="1856">
        <v>0</v>
      </c>
    </row>
    <row r="1766" spans="3:15" ht="13.5">
      <c r="C1766" s="1861" t="s">
        <v>5556</v>
      </c>
      <c r="D1766" s="1858">
        <v>0</v>
      </c>
      <c r="E1766" s="1858">
        <v>1</v>
      </c>
      <c r="F1766" s="1859">
        <v>1</v>
      </c>
      <c r="G1766" s="1872" t="s">
        <v>5556</v>
      </c>
      <c r="H1766" s="1856">
        <v>0</v>
      </c>
      <c r="I1766" s="1856" t="s">
        <v>3909</v>
      </c>
      <c r="J1766" s="1873">
        <v>0</v>
      </c>
      <c r="K1766" s="1860"/>
      <c r="L1766" s="1854">
        <v>13179010208</v>
      </c>
      <c r="M1766" s="1855">
        <v>0</v>
      </c>
      <c r="N1766" s="1855">
        <v>1</v>
      </c>
      <c r="O1766" s="1856">
        <v>1</v>
      </c>
    </row>
    <row r="1767" spans="3:15" ht="13.5">
      <c r="C1767" s="1861" t="s">
        <v>5557</v>
      </c>
      <c r="D1767" s="1858">
        <v>0</v>
      </c>
      <c r="E1767" s="1858">
        <v>1</v>
      </c>
      <c r="F1767" s="1859">
        <v>1</v>
      </c>
      <c r="G1767" s="1872" t="s">
        <v>5557</v>
      </c>
      <c r="H1767" s="1856">
        <v>0</v>
      </c>
      <c r="I1767" s="1856">
        <v>1</v>
      </c>
      <c r="J1767" s="1873">
        <v>1</v>
      </c>
      <c r="K1767" s="1860"/>
      <c r="L1767" s="1854">
        <v>13179010300</v>
      </c>
      <c r="M1767" s="1855">
        <v>0</v>
      </c>
      <c r="N1767" s="1855">
        <v>1</v>
      </c>
      <c r="O1767" s="1856">
        <v>1</v>
      </c>
    </row>
    <row r="1768" spans="3:15" ht="13.5">
      <c r="C1768" s="1861" t="s">
        <v>5558</v>
      </c>
      <c r="D1768" s="1858">
        <v>0</v>
      </c>
      <c r="E1768" s="1858">
        <v>0</v>
      </c>
      <c r="F1768" s="1859">
        <v>0</v>
      </c>
      <c r="G1768" s="1872" t="s">
        <v>5558</v>
      </c>
      <c r="H1768" s="1856">
        <v>0</v>
      </c>
      <c r="I1768" s="1856">
        <v>0</v>
      </c>
      <c r="J1768" s="1873">
        <v>0</v>
      </c>
      <c r="K1768" s="1860"/>
      <c r="L1768" s="1854">
        <v>13179010400</v>
      </c>
      <c r="M1768" s="1855">
        <v>0</v>
      </c>
      <c r="N1768" s="1855">
        <v>0</v>
      </c>
      <c r="O1768" s="1856">
        <v>0</v>
      </c>
    </row>
    <row r="1769" spans="3:15" ht="13.5">
      <c r="C1769" s="1861" t="s">
        <v>5559</v>
      </c>
      <c r="D1769" s="1858">
        <v>1</v>
      </c>
      <c r="E1769" s="1858">
        <v>1</v>
      </c>
      <c r="F1769" s="1859">
        <v>2</v>
      </c>
      <c r="G1769" s="1872" t="s">
        <v>5559</v>
      </c>
      <c r="H1769" s="1856">
        <v>0</v>
      </c>
      <c r="I1769" s="1856">
        <v>0</v>
      </c>
      <c r="J1769" s="1873">
        <v>0</v>
      </c>
      <c r="K1769" s="1860"/>
      <c r="L1769" s="1854">
        <v>13179010501</v>
      </c>
      <c r="M1769" s="1855">
        <v>1</v>
      </c>
      <c r="N1769" s="1855">
        <v>1</v>
      </c>
      <c r="O1769" s="1856">
        <v>2</v>
      </c>
    </row>
    <row r="1770" spans="3:15" ht="13.5">
      <c r="C1770" s="1861" t="s">
        <v>5560</v>
      </c>
      <c r="D1770" s="1858">
        <v>0</v>
      </c>
      <c r="E1770" s="1858">
        <v>0</v>
      </c>
      <c r="F1770" s="1859">
        <v>0</v>
      </c>
      <c r="G1770" s="1872" t="s">
        <v>5560</v>
      </c>
      <c r="H1770" s="1856">
        <v>0</v>
      </c>
      <c r="I1770" s="1856">
        <v>0</v>
      </c>
      <c r="J1770" s="1873">
        <v>0</v>
      </c>
      <c r="K1770" s="1860"/>
      <c r="L1770" s="1854">
        <v>13179010502</v>
      </c>
      <c r="M1770" s="1855">
        <v>0</v>
      </c>
      <c r="N1770" s="1855">
        <v>0</v>
      </c>
      <c r="O1770" s="1856">
        <v>0</v>
      </c>
    </row>
    <row r="1771" spans="3:15" ht="13.5">
      <c r="C1771" s="1861" t="s">
        <v>5561</v>
      </c>
      <c r="D1771" s="1858">
        <v>0</v>
      </c>
      <c r="E1771" s="1858">
        <v>0</v>
      </c>
      <c r="F1771" s="1859">
        <v>0</v>
      </c>
      <c r="G1771" s="1872" t="s">
        <v>5561</v>
      </c>
      <c r="H1771" s="1856">
        <v>0</v>
      </c>
      <c r="I1771" s="1856">
        <v>0</v>
      </c>
      <c r="J1771" s="1873">
        <v>0</v>
      </c>
      <c r="K1771" s="1860"/>
      <c r="L1771" s="1854">
        <v>13179010600</v>
      </c>
      <c r="M1771" s="1855">
        <v>0</v>
      </c>
      <c r="N1771" s="1855">
        <v>0</v>
      </c>
      <c r="O1771" s="1856">
        <v>0</v>
      </c>
    </row>
    <row r="1772" spans="3:15" ht="13.5">
      <c r="C1772" s="1861" t="s">
        <v>5562</v>
      </c>
      <c r="D1772" s="1858" t="s">
        <v>3909</v>
      </c>
      <c r="E1772" s="1858" t="s">
        <v>3909</v>
      </c>
      <c r="F1772" s="1859">
        <v>0</v>
      </c>
      <c r="G1772" s="1872" t="s">
        <v>5562</v>
      </c>
      <c r="H1772" s="1856" t="s">
        <v>3909</v>
      </c>
      <c r="I1772" s="1856" t="s">
        <v>3909</v>
      </c>
      <c r="J1772" s="1873">
        <v>0</v>
      </c>
      <c r="K1772" s="1860"/>
      <c r="L1772" s="1854">
        <v>13179990000</v>
      </c>
      <c r="M1772" s="1855">
        <v>0</v>
      </c>
      <c r="N1772" s="1855">
        <v>0</v>
      </c>
      <c r="O1772" s="1856">
        <v>0</v>
      </c>
    </row>
    <row r="1773" spans="3:15" ht="13.5">
      <c r="C1773" s="1861" t="s">
        <v>5563</v>
      </c>
      <c r="D1773" s="1858">
        <v>0</v>
      </c>
      <c r="E1773" s="1858">
        <v>0</v>
      </c>
      <c r="F1773" s="1859">
        <v>0</v>
      </c>
      <c r="G1773" s="1872" t="s">
        <v>5563</v>
      </c>
      <c r="H1773" s="1856">
        <v>0</v>
      </c>
      <c r="I1773" s="1856">
        <v>1</v>
      </c>
      <c r="J1773" s="1873">
        <v>1</v>
      </c>
      <c r="K1773" s="1860"/>
      <c r="L1773" s="1854">
        <v>13181970100</v>
      </c>
      <c r="M1773" s="1855">
        <v>0</v>
      </c>
      <c r="N1773" s="1855">
        <v>1</v>
      </c>
      <c r="O1773" s="1856">
        <v>1</v>
      </c>
    </row>
    <row r="1774" spans="3:15" ht="13.5">
      <c r="C1774" s="1861" t="s">
        <v>5564</v>
      </c>
      <c r="D1774" s="1858">
        <v>0</v>
      </c>
      <c r="E1774" s="1858">
        <v>0</v>
      </c>
      <c r="F1774" s="1859">
        <v>0</v>
      </c>
      <c r="G1774" s="1872" t="s">
        <v>5564</v>
      </c>
      <c r="H1774" s="1856">
        <v>0</v>
      </c>
      <c r="I1774" s="1856">
        <v>0</v>
      </c>
      <c r="J1774" s="1873">
        <v>0</v>
      </c>
      <c r="K1774" s="1860"/>
      <c r="L1774" s="1854">
        <v>13181970200</v>
      </c>
      <c r="M1774" s="1855">
        <v>0</v>
      </c>
      <c r="N1774" s="1855">
        <v>0</v>
      </c>
      <c r="O1774" s="1856">
        <v>0</v>
      </c>
    </row>
    <row r="1775" spans="3:15" ht="13.5">
      <c r="C1775" s="1861" t="s">
        <v>5565</v>
      </c>
      <c r="D1775" s="1858">
        <v>0</v>
      </c>
      <c r="E1775" s="1858">
        <v>0</v>
      </c>
      <c r="F1775" s="1859">
        <v>0</v>
      </c>
      <c r="G1775" s="1872" t="s">
        <v>5565</v>
      </c>
      <c r="H1775" s="1856">
        <v>0</v>
      </c>
      <c r="I1775" s="1856">
        <v>0</v>
      </c>
      <c r="J1775" s="1873">
        <v>0</v>
      </c>
      <c r="K1775" s="1860"/>
      <c r="L1775" s="1854">
        <v>13183970100</v>
      </c>
      <c r="M1775" s="1855">
        <v>0</v>
      </c>
      <c r="N1775" s="1855">
        <v>0</v>
      </c>
      <c r="O1775" s="1856">
        <v>0</v>
      </c>
    </row>
    <row r="1776" spans="3:15" ht="13.5">
      <c r="C1776" s="1861" t="s">
        <v>5566</v>
      </c>
      <c r="D1776" s="1858">
        <v>0</v>
      </c>
      <c r="E1776" s="1858">
        <v>0</v>
      </c>
      <c r="F1776" s="1859">
        <v>0</v>
      </c>
      <c r="G1776" s="1872" t="s">
        <v>5566</v>
      </c>
      <c r="H1776" s="1856">
        <v>0</v>
      </c>
      <c r="I1776" s="1856">
        <v>1</v>
      </c>
      <c r="J1776" s="1873">
        <v>1</v>
      </c>
      <c r="K1776" s="1860"/>
      <c r="L1776" s="1854">
        <v>13183970200</v>
      </c>
      <c r="M1776" s="1855">
        <v>0</v>
      </c>
      <c r="N1776" s="1855">
        <v>1</v>
      </c>
      <c r="O1776" s="1856">
        <v>1</v>
      </c>
    </row>
    <row r="1777" spans="3:15" ht="13.5">
      <c r="C1777" s="1861" t="s">
        <v>5567</v>
      </c>
      <c r="D1777" s="1858" t="s">
        <v>3909</v>
      </c>
      <c r="E1777" s="1858" t="s">
        <v>3909</v>
      </c>
      <c r="F1777" s="1859">
        <v>0</v>
      </c>
      <c r="G1777" s="1872" t="s">
        <v>5567</v>
      </c>
      <c r="H1777" s="1856" t="s">
        <v>3909</v>
      </c>
      <c r="I1777" s="1856" t="s">
        <v>3909</v>
      </c>
      <c r="J1777" s="1873">
        <v>0</v>
      </c>
      <c r="K1777" s="1860"/>
      <c r="L1777" s="1854">
        <v>13183980000</v>
      </c>
      <c r="M1777" s="1855">
        <v>0</v>
      </c>
      <c r="N1777" s="1855">
        <v>0</v>
      </c>
      <c r="O1777" s="1856">
        <v>0</v>
      </c>
    </row>
    <row r="1778" spans="3:15" ht="13.5">
      <c r="C1778" s="1861" t="s">
        <v>5568</v>
      </c>
      <c r="D1778" s="1858">
        <v>0</v>
      </c>
      <c r="E1778" s="1858">
        <v>1</v>
      </c>
      <c r="F1778" s="1859">
        <v>1</v>
      </c>
      <c r="G1778" s="1872" t="s">
        <v>5568</v>
      </c>
      <c r="H1778" s="1856">
        <v>0</v>
      </c>
      <c r="I1778" s="1856">
        <v>0</v>
      </c>
      <c r="J1778" s="1873">
        <v>0</v>
      </c>
      <c r="K1778" s="1860"/>
      <c r="L1778" s="1854">
        <v>13185010101</v>
      </c>
      <c r="M1778" s="1855">
        <v>0</v>
      </c>
      <c r="N1778" s="1855">
        <v>1</v>
      </c>
      <c r="O1778" s="1856">
        <v>1</v>
      </c>
    </row>
    <row r="1779" spans="3:15" ht="13.5">
      <c r="C1779" s="1861" t="s">
        <v>5569</v>
      </c>
      <c r="D1779" s="1858">
        <v>0</v>
      </c>
      <c r="E1779" s="1858">
        <v>1</v>
      </c>
      <c r="F1779" s="1859">
        <v>1</v>
      </c>
      <c r="G1779" s="1872" t="s">
        <v>5569</v>
      </c>
      <c r="H1779" s="1856">
        <v>0</v>
      </c>
      <c r="I1779" s="1856">
        <v>1</v>
      </c>
      <c r="J1779" s="1873">
        <v>1</v>
      </c>
      <c r="K1779" s="1860"/>
      <c r="L1779" s="1854">
        <v>13185010102</v>
      </c>
      <c r="M1779" s="1855">
        <v>0</v>
      </c>
      <c r="N1779" s="1855">
        <v>1</v>
      </c>
      <c r="O1779" s="1856">
        <v>1</v>
      </c>
    </row>
    <row r="1780" spans="3:15" ht="13.5">
      <c r="C1780" s="1861" t="s">
        <v>5570</v>
      </c>
      <c r="D1780" s="1858">
        <v>1</v>
      </c>
      <c r="E1780" s="1858">
        <v>1</v>
      </c>
      <c r="F1780" s="1859">
        <v>2</v>
      </c>
      <c r="G1780" s="1872" t="s">
        <v>5570</v>
      </c>
      <c r="H1780" s="1856">
        <v>1</v>
      </c>
      <c r="I1780" s="1856">
        <v>1</v>
      </c>
      <c r="J1780" s="1873">
        <v>2</v>
      </c>
      <c r="K1780" s="1860"/>
      <c r="L1780" s="1854">
        <v>13185010103</v>
      </c>
      <c r="M1780" s="1855">
        <v>1</v>
      </c>
      <c r="N1780" s="1855">
        <v>1</v>
      </c>
      <c r="O1780" s="1856">
        <v>2</v>
      </c>
    </row>
    <row r="1781" spans="3:15" ht="13.5">
      <c r="C1781" s="1861" t="s">
        <v>5571</v>
      </c>
      <c r="D1781" s="1858">
        <v>0</v>
      </c>
      <c r="E1781" s="1858">
        <v>1</v>
      </c>
      <c r="F1781" s="1859">
        <v>1</v>
      </c>
      <c r="G1781" s="1872" t="s">
        <v>5571</v>
      </c>
      <c r="H1781" s="1856">
        <v>0</v>
      </c>
      <c r="I1781" s="1856">
        <v>1</v>
      </c>
      <c r="J1781" s="1873">
        <v>1</v>
      </c>
      <c r="K1781" s="1860"/>
      <c r="L1781" s="1854">
        <v>13185010201</v>
      </c>
      <c r="M1781" s="1855">
        <v>0</v>
      </c>
      <c r="N1781" s="1855">
        <v>1</v>
      </c>
      <c r="O1781" s="1856">
        <v>1</v>
      </c>
    </row>
    <row r="1782" spans="3:15" ht="13.5">
      <c r="C1782" s="1861" t="s">
        <v>5572</v>
      </c>
      <c r="D1782" s="1858">
        <v>1</v>
      </c>
      <c r="E1782" s="1858">
        <v>1</v>
      </c>
      <c r="F1782" s="1859">
        <v>2</v>
      </c>
      <c r="G1782" s="1872" t="s">
        <v>5572</v>
      </c>
      <c r="H1782" s="1856">
        <v>1</v>
      </c>
      <c r="I1782" s="1856">
        <v>1</v>
      </c>
      <c r="J1782" s="1873">
        <v>2</v>
      </c>
      <c r="K1782" s="1860"/>
      <c r="L1782" s="1854">
        <v>13185010202</v>
      </c>
      <c r="M1782" s="1855">
        <v>1</v>
      </c>
      <c r="N1782" s="1855">
        <v>1</v>
      </c>
      <c r="O1782" s="1856">
        <v>2</v>
      </c>
    </row>
    <row r="1783" spans="3:15" ht="13.5">
      <c r="C1783" s="1861" t="s">
        <v>5573</v>
      </c>
      <c r="D1783" s="1858">
        <v>1</v>
      </c>
      <c r="E1783" s="1858">
        <v>1</v>
      </c>
      <c r="F1783" s="1859">
        <v>2</v>
      </c>
      <c r="G1783" s="1872" t="s">
        <v>5573</v>
      </c>
      <c r="H1783" s="1856">
        <v>1</v>
      </c>
      <c r="I1783" s="1856">
        <v>1</v>
      </c>
      <c r="J1783" s="1873">
        <v>2</v>
      </c>
      <c r="K1783" s="1860"/>
      <c r="L1783" s="1854">
        <v>13185010301</v>
      </c>
      <c r="M1783" s="1855">
        <v>1</v>
      </c>
      <c r="N1783" s="1855">
        <v>1</v>
      </c>
      <c r="O1783" s="1856">
        <v>2</v>
      </c>
    </row>
    <row r="1784" spans="3:15" ht="13.5">
      <c r="C1784" s="1861" t="s">
        <v>5574</v>
      </c>
      <c r="D1784" s="1858">
        <v>1</v>
      </c>
      <c r="E1784" s="1858">
        <v>1</v>
      </c>
      <c r="F1784" s="1859">
        <v>2</v>
      </c>
      <c r="G1784" s="1872" t="s">
        <v>5574</v>
      </c>
      <c r="H1784" s="1856">
        <v>1</v>
      </c>
      <c r="I1784" s="1856">
        <v>1</v>
      </c>
      <c r="J1784" s="1873">
        <v>2</v>
      </c>
      <c r="K1784" s="1860"/>
      <c r="L1784" s="1854">
        <v>13185010302</v>
      </c>
      <c r="M1784" s="1855">
        <v>1</v>
      </c>
      <c r="N1784" s="1855">
        <v>1</v>
      </c>
      <c r="O1784" s="1856">
        <v>2</v>
      </c>
    </row>
    <row r="1785" spans="3:15" ht="13.5">
      <c r="C1785" s="1861" t="s">
        <v>5575</v>
      </c>
      <c r="D1785" s="1858">
        <v>1</v>
      </c>
      <c r="E1785" s="1858">
        <v>1</v>
      </c>
      <c r="F1785" s="1859">
        <v>2</v>
      </c>
      <c r="G1785" s="1872" t="s">
        <v>5575</v>
      </c>
      <c r="H1785" s="1856">
        <v>1</v>
      </c>
      <c r="I1785" s="1856">
        <v>1</v>
      </c>
      <c r="J1785" s="1873">
        <v>2</v>
      </c>
      <c r="K1785" s="1860"/>
      <c r="L1785" s="1854">
        <v>13185010401</v>
      </c>
      <c r="M1785" s="1855">
        <v>1</v>
      </c>
      <c r="N1785" s="1855">
        <v>1</v>
      </c>
      <c r="O1785" s="1856">
        <v>2</v>
      </c>
    </row>
    <row r="1786" spans="3:15" ht="13.5">
      <c r="C1786" s="1861" t="s">
        <v>5576</v>
      </c>
      <c r="D1786" s="1858">
        <v>0</v>
      </c>
      <c r="E1786" s="1858">
        <v>0</v>
      </c>
      <c r="F1786" s="1859">
        <v>0</v>
      </c>
      <c r="G1786" s="1872" t="s">
        <v>5576</v>
      </c>
      <c r="H1786" s="1856">
        <v>0</v>
      </c>
      <c r="I1786" s="1856">
        <v>0</v>
      </c>
      <c r="J1786" s="1873">
        <v>0</v>
      </c>
      <c r="K1786" s="1860"/>
      <c r="L1786" s="1854">
        <v>13185010402</v>
      </c>
      <c r="M1786" s="1855">
        <v>0</v>
      </c>
      <c r="N1786" s="1855">
        <v>0</v>
      </c>
      <c r="O1786" s="1856">
        <v>0</v>
      </c>
    </row>
    <row r="1787" spans="3:15" ht="13.5">
      <c r="C1787" s="1861" t="s">
        <v>5577</v>
      </c>
      <c r="D1787" s="1858">
        <v>0</v>
      </c>
      <c r="E1787" s="1858">
        <v>0</v>
      </c>
      <c r="F1787" s="1859">
        <v>0</v>
      </c>
      <c r="G1787" s="1872" t="s">
        <v>5577</v>
      </c>
      <c r="H1787" s="1856">
        <v>0</v>
      </c>
      <c r="I1787" s="1856">
        <v>0</v>
      </c>
      <c r="J1787" s="1873">
        <v>0</v>
      </c>
      <c r="K1787" s="1860"/>
      <c r="L1787" s="1854">
        <v>13185010500</v>
      </c>
      <c r="M1787" s="1855">
        <v>0</v>
      </c>
      <c r="N1787" s="1855">
        <v>0</v>
      </c>
      <c r="O1787" s="1856">
        <v>0</v>
      </c>
    </row>
    <row r="1788" spans="3:15" ht="13.5">
      <c r="C1788" s="1861" t="s">
        <v>5578</v>
      </c>
      <c r="D1788" s="1858">
        <v>0</v>
      </c>
      <c r="E1788" s="1858">
        <v>0</v>
      </c>
      <c r="F1788" s="1859">
        <v>0</v>
      </c>
      <c r="G1788" s="1872" t="s">
        <v>5578</v>
      </c>
      <c r="H1788" s="1856">
        <v>0</v>
      </c>
      <c r="I1788" s="1856">
        <v>1</v>
      </c>
      <c r="J1788" s="1873">
        <v>1</v>
      </c>
      <c r="K1788" s="1860"/>
      <c r="L1788" s="1854">
        <v>13185010601</v>
      </c>
      <c r="M1788" s="1855">
        <v>0</v>
      </c>
      <c r="N1788" s="1855">
        <v>1</v>
      </c>
      <c r="O1788" s="1856">
        <v>1</v>
      </c>
    </row>
    <row r="1789" spans="3:15" ht="13.5">
      <c r="C1789" s="1861" t="s">
        <v>5579</v>
      </c>
      <c r="D1789" s="1858">
        <v>1</v>
      </c>
      <c r="E1789" s="1858">
        <v>1</v>
      </c>
      <c r="F1789" s="1859">
        <v>2</v>
      </c>
      <c r="G1789" s="1872" t="s">
        <v>5579</v>
      </c>
      <c r="H1789" s="1856">
        <v>1</v>
      </c>
      <c r="I1789" s="1856">
        <v>1</v>
      </c>
      <c r="J1789" s="1873">
        <v>2</v>
      </c>
      <c r="K1789" s="1860"/>
      <c r="L1789" s="1854">
        <v>13185010604</v>
      </c>
      <c r="M1789" s="1855">
        <v>1</v>
      </c>
      <c r="N1789" s="1855">
        <v>1</v>
      </c>
      <c r="O1789" s="1856">
        <v>2</v>
      </c>
    </row>
    <row r="1790" spans="3:15" ht="13.5">
      <c r="C1790" s="1861" t="s">
        <v>5580</v>
      </c>
      <c r="D1790" s="1858">
        <v>0</v>
      </c>
      <c r="E1790" s="1858">
        <v>0</v>
      </c>
      <c r="F1790" s="1859">
        <v>0</v>
      </c>
      <c r="G1790" s="1872" t="s">
        <v>5580</v>
      </c>
      <c r="H1790" s="1856">
        <v>0</v>
      </c>
      <c r="I1790" s="1856">
        <v>0</v>
      </c>
      <c r="J1790" s="1873">
        <v>0</v>
      </c>
      <c r="K1790" s="1860"/>
      <c r="L1790" s="1854">
        <v>13185010700</v>
      </c>
      <c r="M1790" s="1855">
        <v>0</v>
      </c>
      <c r="N1790" s="1855">
        <v>0</v>
      </c>
      <c r="O1790" s="1856">
        <v>0</v>
      </c>
    </row>
    <row r="1791" spans="3:15" ht="13.5">
      <c r="C1791" s="1861" t="s">
        <v>5581</v>
      </c>
      <c r="D1791" s="1858">
        <v>0</v>
      </c>
      <c r="E1791" s="1858">
        <v>0</v>
      </c>
      <c r="F1791" s="1859">
        <v>0</v>
      </c>
      <c r="G1791" s="1872" t="s">
        <v>5581</v>
      </c>
      <c r="H1791" s="1856">
        <v>0</v>
      </c>
      <c r="I1791" s="1856">
        <v>0</v>
      </c>
      <c r="J1791" s="1873">
        <v>0</v>
      </c>
      <c r="K1791" s="1860"/>
      <c r="L1791" s="1854">
        <v>13185010800</v>
      </c>
      <c r="M1791" s="1855">
        <v>0</v>
      </c>
      <c r="N1791" s="1855">
        <v>0</v>
      </c>
      <c r="O1791" s="1856">
        <v>0</v>
      </c>
    </row>
    <row r="1792" spans="3:15" ht="13.5">
      <c r="C1792" s="1861" t="s">
        <v>5582</v>
      </c>
      <c r="D1792" s="1858">
        <v>0</v>
      </c>
      <c r="E1792" s="1858">
        <v>0</v>
      </c>
      <c r="F1792" s="1859">
        <v>0</v>
      </c>
      <c r="G1792" s="1872" t="s">
        <v>5582</v>
      </c>
      <c r="H1792" s="1856">
        <v>0</v>
      </c>
      <c r="I1792" s="1856">
        <v>0</v>
      </c>
      <c r="J1792" s="1873">
        <v>0</v>
      </c>
      <c r="K1792" s="1860"/>
      <c r="L1792" s="1854">
        <v>13185010900</v>
      </c>
      <c r="M1792" s="1855">
        <v>0</v>
      </c>
      <c r="N1792" s="1855">
        <v>0</v>
      </c>
      <c r="O1792" s="1856">
        <v>0</v>
      </c>
    </row>
    <row r="1793" spans="3:15" ht="13.5">
      <c r="C1793" s="1861" t="s">
        <v>5583</v>
      </c>
      <c r="D1793" s="1858">
        <v>0</v>
      </c>
      <c r="E1793" s="1858">
        <v>0</v>
      </c>
      <c r="F1793" s="1859">
        <v>0</v>
      </c>
      <c r="G1793" s="1872" t="s">
        <v>5583</v>
      </c>
      <c r="H1793" s="1856">
        <v>0</v>
      </c>
      <c r="I1793" s="1856">
        <v>0</v>
      </c>
      <c r="J1793" s="1873">
        <v>0</v>
      </c>
      <c r="K1793" s="1860"/>
      <c r="L1793" s="1854">
        <v>13185011000</v>
      </c>
      <c r="M1793" s="1855">
        <v>0</v>
      </c>
      <c r="N1793" s="1855">
        <v>0</v>
      </c>
      <c r="O1793" s="1856">
        <v>0</v>
      </c>
    </row>
    <row r="1794" spans="3:15" ht="13.5">
      <c r="C1794" s="1861" t="s">
        <v>5584</v>
      </c>
      <c r="D1794" s="1858">
        <v>0</v>
      </c>
      <c r="E1794" s="1858">
        <v>0</v>
      </c>
      <c r="F1794" s="1859">
        <v>0</v>
      </c>
      <c r="G1794" s="1872" t="s">
        <v>5584</v>
      </c>
      <c r="H1794" s="1856">
        <v>0</v>
      </c>
      <c r="I1794" s="1856">
        <v>1</v>
      </c>
      <c r="J1794" s="1873">
        <v>1</v>
      </c>
      <c r="K1794" s="1860"/>
      <c r="L1794" s="1854">
        <v>13185011100</v>
      </c>
      <c r="M1794" s="1855">
        <v>0</v>
      </c>
      <c r="N1794" s="1855">
        <v>1</v>
      </c>
      <c r="O1794" s="1856">
        <v>1</v>
      </c>
    </row>
    <row r="1795" spans="3:15" ht="13.5">
      <c r="C1795" s="1861" t="s">
        <v>5585</v>
      </c>
      <c r="D1795" s="1858">
        <v>0</v>
      </c>
      <c r="E1795" s="1858">
        <v>0</v>
      </c>
      <c r="F1795" s="1859">
        <v>0</v>
      </c>
      <c r="G1795" s="1872" t="s">
        <v>5585</v>
      </c>
      <c r="H1795" s="1856">
        <v>0</v>
      </c>
      <c r="I1795" s="1856">
        <v>0</v>
      </c>
      <c r="J1795" s="1873">
        <v>0</v>
      </c>
      <c r="K1795" s="1860"/>
      <c r="L1795" s="1854">
        <v>13185011200</v>
      </c>
      <c r="M1795" s="1855">
        <v>0</v>
      </c>
      <c r="N1795" s="1855">
        <v>0</v>
      </c>
      <c r="O1795" s="1856">
        <v>0</v>
      </c>
    </row>
    <row r="1796" spans="3:15" ht="13.5">
      <c r="C1796" s="1861" t="s">
        <v>5586</v>
      </c>
      <c r="D1796" s="1858">
        <v>0</v>
      </c>
      <c r="E1796" s="1858">
        <v>0</v>
      </c>
      <c r="F1796" s="1859">
        <v>0</v>
      </c>
      <c r="G1796" s="1872" t="s">
        <v>5586</v>
      </c>
      <c r="H1796" s="1856">
        <v>0</v>
      </c>
      <c r="I1796" s="1856">
        <v>0</v>
      </c>
      <c r="J1796" s="1873">
        <v>0</v>
      </c>
      <c r="K1796" s="1860"/>
      <c r="L1796" s="1854">
        <v>13185011301</v>
      </c>
      <c r="M1796" s="1855">
        <v>0</v>
      </c>
      <c r="N1796" s="1855">
        <v>0</v>
      </c>
      <c r="O1796" s="1856">
        <v>0</v>
      </c>
    </row>
    <row r="1797" spans="3:15" ht="13.5">
      <c r="C1797" s="1861" t="s">
        <v>5587</v>
      </c>
      <c r="D1797" s="1858">
        <v>0</v>
      </c>
      <c r="E1797" s="1858">
        <v>0</v>
      </c>
      <c r="F1797" s="1859">
        <v>0</v>
      </c>
      <c r="G1797" s="1872" t="s">
        <v>5587</v>
      </c>
      <c r="H1797" s="1856">
        <v>0</v>
      </c>
      <c r="I1797" s="1856">
        <v>0</v>
      </c>
      <c r="J1797" s="1873">
        <v>0</v>
      </c>
      <c r="K1797" s="1860"/>
      <c r="L1797" s="1854">
        <v>13185011302</v>
      </c>
      <c r="M1797" s="1855">
        <v>0</v>
      </c>
      <c r="N1797" s="1855">
        <v>0</v>
      </c>
      <c r="O1797" s="1856">
        <v>0</v>
      </c>
    </row>
    <row r="1798" spans="3:15" ht="13.5">
      <c r="C1798" s="1861" t="s">
        <v>5588</v>
      </c>
      <c r="D1798" s="1858">
        <v>0</v>
      </c>
      <c r="E1798" s="1858">
        <v>0</v>
      </c>
      <c r="F1798" s="1859">
        <v>0</v>
      </c>
      <c r="G1798" s="1872" t="s">
        <v>5588</v>
      </c>
      <c r="H1798" s="1856">
        <v>0</v>
      </c>
      <c r="I1798" s="1856">
        <v>1</v>
      </c>
      <c r="J1798" s="1873">
        <v>1</v>
      </c>
      <c r="K1798" s="1860"/>
      <c r="L1798" s="1854">
        <v>13185011401</v>
      </c>
      <c r="M1798" s="1855">
        <v>0</v>
      </c>
      <c r="N1798" s="1855">
        <v>1</v>
      </c>
      <c r="O1798" s="1856">
        <v>1</v>
      </c>
    </row>
    <row r="1799" spans="3:15" ht="13.5">
      <c r="C1799" s="1861" t="s">
        <v>5589</v>
      </c>
      <c r="D1799" s="1858">
        <v>0</v>
      </c>
      <c r="E1799" s="1858">
        <v>0</v>
      </c>
      <c r="F1799" s="1859">
        <v>0</v>
      </c>
      <c r="G1799" s="1872" t="s">
        <v>5589</v>
      </c>
      <c r="H1799" s="1856">
        <v>0</v>
      </c>
      <c r="I1799" s="1856">
        <v>0</v>
      </c>
      <c r="J1799" s="1873">
        <v>0</v>
      </c>
      <c r="K1799" s="1860"/>
      <c r="L1799" s="1854">
        <v>13185011402</v>
      </c>
      <c r="M1799" s="1855">
        <v>0</v>
      </c>
      <c r="N1799" s="1855">
        <v>0</v>
      </c>
      <c r="O1799" s="1856">
        <v>0</v>
      </c>
    </row>
    <row r="1800" spans="3:15" ht="13.5">
      <c r="C1800" s="1861" t="s">
        <v>5590</v>
      </c>
      <c r="D1800" s="1858">
        <v>0</v>
      </c>
      <c r="E1800" s="1858">
        <v>0</v>
      </c>
      <c r="F1800" s="1859">
        <v>0</v>
      </c>
      <c r="G1800" s="1872" t="s">
        <v>5590</v>
      </c>
      <c r="H1800" s="1856">
        <v>0</v>
      </c>
      <c r="I1800" s="1856">
        <v>0</v>
      </c>
      <c r="J1800" s="1873">
        <v>0</v>
      </c>
      <c r="K1800" s="1860"/>
      <c r="L1800" s="1854">
        <v>13185011403</v>
      </c>
      <c r="M1800" s="1855">
        <v>0</v>
      </c>
      <c r="N1800" s="1855">
        <v>0</v>
      </c>
      <c r="O1800" s="1856">
        <v>0</v>
      </c>
    </row>
    <row r="1801" spans="3:15" ht="13.5">
      <c r="C1801" s="1861" t="s">
        <v>5591</v>
      </c>
      <c r="D1801" s="1858">
        <v>0</v>
      </c>
      <c r="E1801" s="1858">
        <v>0</v>
      </c>
      <c r="F1801" s="1859">
        <v>0</v>
      </c>
      <c r="G1801" s="1872" t="s">
        <v>5591</v>
      </c>
      <c r="H1801" s="1856">
        <v>0</v>
      </c>
      <c r="I1801" s="1856">
        <v>0</v>
      </c>
      <c r="J1801" s="1873">
        <v>0</v>
      </c>
      <c r="K1801" s="1860"/>
      <c r="L1801" s="1854">
        <v>13185011500</v>
      </c>
      <c r="M1801" s="1855">
        <v>0</v>
      </c>
      <c r="N1801" s="1855">
        <v>0</v>
      </c>
      <c r="O1801" s="1856">
        <v>0</v>
      </c>
    </row>
    <row r="1802" spans="3:15" ht="13.5">
      <c r="C1802" s="1861" t="s">
        <v>5592</v>
      </c>
      <c r="D1802" s="1858">
        <v>0</v>
      </c>
      <c r="E1802" s="1858">
        <v>1</v>
      </c>
      <c r="F1802" s="1859">
        <v>1</v>
      </c>
      <c r="G1802" s="1872" t="s">
        <v>5592</v>
      </c>
      <c r="H1802" s="1856">
        <v>0</v>
      </c>
      <c r="I1802" s="1856">
        <v>0</v>
      </c>
      <c r="J1802" s="1873">
        <v>0</v>
      </c>
      <c r="K1802" s="1860"/>
      <c r="L1802" s="1854">
        <v>13185011600</v>
      </c>
      <c r="M1802" s="1855">
        <v>0</v>
      </c>
      <c r="N1802" s="1855">
        <v>1</v>
      </c>
      <c r="O1802" s="1856">
        <v>1</v>
      </c>
    </row>
    <row r="1803" spans="3:15" ht="13.5">
      <c r="C1803" s="1861" t="s">
        <v>5593</v>
      </c>
      <c r="D1803" s="1858">
        <v>0</v>
      </c>
      <c r="E1803" s="1858">
        <v>0</v>
      </c>
      <c r="F1803" s="1859">
        <v>0</v>
      </c>
      <c r="G1803" s="1872" t="s">
        <v>5593</v>
      </c>
      <c r="H1803" s="1856">
        <v>1</v>
      </c>
      <c r="I1803" s="1856">
        <v>0</v>
      </c>
      <c r="J1803" s="1873">
        <v>1</v>
      </c>
      <c r="K1803" s="1860"/>
      <c r="L1803" s="1854">
        <v>13187960101</v>
      </c>
      <c r="M1803" s="1855">
        <v>1</v>
      </c>
      <c r="N1803" s="1855">
        <v>0</v>
      </c>
      <c r="O1803" s="1856">
        <v>1</v>
      </c>
    </row>
    <row r="1804" spans="3:15" ht="13.5">
      <c r="C1804" s="1861" t="s">
        <v>5594</v>
      </c>
      <c r="D1804" s="1858">
        <v>1</v>
      </c>
      <c r="E1804" s="1858">
        <v>1</v>
      </c>
      <c r="F1804" s="1859">
        <v>2</v>
      </c>
      <c r="G1804" s="1872" t="s">
        <v>5594</v>
      </c>
      <c r="H1804" s="1856">
        <v>1</v>
      </c>
      <c r="I1804" s="1856">
        <v>1</v>
      </c>
      <c r="J1804" s="1873">
        <v>2</v>
      </c>
      <c r="K1804" s="1860"/>
      <c r="L1804" s="1854">
        <v>13187960102</v>
      </c>
      <c r="M1804" s="1855">
        <v>1</v>
      </c>
      <c r="N1804" s="1855">
        <v>1</v>
      </c>
      <c r="O1804" s="1856">
        <v>2</v>
      </c>
    </row>
    <row r="1805" spans="3:15" ht="13.5">
      <c r="C1805" s="1861" t="s">
        <v>5595</v>
      </c>
      <c r="D1805" s="1858">
        <v>0</v>
      </c>
      <c r="E1805" s="1858">
        <v>1</v>
      </c>
      <c r="F1805" s="1859">
        <v>1</v>
      </c>
      <c r="G1805" s="1872" t="s">
        <v>5595</v>
      </c>
      <c r="H1805" s="1856">
        <v>0</v>
      </c>
      <c r="I1805" s="1856">
        <v>1</v>
      </c>
      <c r="J1805" s="1873">
        <v>1</v>
      </c>
      <c r="K1805" s="1860"/>
      <c r="L1805" s="1854">
        <v>13187960201</v>
      </c>
      <c r="M1805" s="1855">
        <v>0</v>
      </c>
      <c r="N1805" s="1855">
        <v>1</v>
      </c>
      <c r="O1805" s="1856">
        <v>1</v>
      </c>
    </row>
    <row r="1806" spans="3:15" ht="13.5">
      <c r="C1806" s="1861" t="s">
        <v>5596</v>
      </c>
      <c r="D1806" s="1858">
        <v>0</v>
      </c>
      <c r="E1806" s="1858">
        <v>0</v>
      </c>
      <c r="F1806" s="1859">
        <v>0</v>
      </c>
      <c r="G1806" s="1872" t="s">
        <v>5596</v>
      </c>
      <c r="H1806" s="1856">
        <v>0</v>
      </c>
      <c r="I1806" s="1856">
        <v>0</v>
      </c>
      <c r="J1806" s="1873">
        <v>0</v>
      </c>
      <c r="K1806" s="1860"/>
      <c r="L1806" s="1854">
        <v>13187960202</v>
      </c>
      <c r="M1806" s="1855">
        <v>0</v>
      </c>
      <c r="N1806" s="1855">
        <v>0</v>
      </c>
      <c r="O1806" s="1856">
        <v>0</v>
      </c>
    </row>
    <row r="1807" spans="3:15" ht="13.5">
      <c r="C1807" s="1861" t="s">
        <v>5597</v>
      </c>
      <c r="D1807" s="1858">
        <v>1</v>
      </c>
      <c r="E1807" s="1858">
        <v>1</v>
      </c>
      <c r="F1807" s="1859">
        <v>2</v>
      </c>
      <c r="G1807" s="1872" t="s">
        <v>5597</v>
      </c>
      <c r="H1807" s="1856">
        <v>1</v>
      </c>
      <c r="I1807" s="1856">
        <v>0</v>
      </c>
      <c r="J1807" s="1873">
        <v>1</v>
      </c>
      <c r="K1807" s="1860"/>
      <c r="L1807" s="1854">
        <v>13189950100</v>
      </c>
      <c r="M1807" s="1855">
        <v>1</v>
      </c>
      <c r="N1807" s="1855">
        <v>1</v>
      </c>
      <c r="O1807" s="1856">
        <v>2</v>
      </c>
    </row>
    <row r="1808" spans="3:15" ht="13.5">
      <c r="C1808" s="1861" t="s">
        <v>5598</v>
      </c>
      <c r="D1808" s="1858">
        <v>0</v>
      </c>
      <c r="E1808" s="1858">
        <v>0</v>
      </c>
      <c r="F1808" s="1859">
        <v>0</v>
      </c>
      <c r="G1808" s="1872" t="s">
        <v>5598</v>
      </c>
      <c r="H1808" s="1856">
        <v>0</v>
      </c>
      <c r="I1808" s="1856">
        <v>0</v>
      </c>
      <c r="J1808" s="1873">
        <v>0</v>
      </c>
      <c r="K1808" s="1860"/>
      <c r="L1808" s="1854">
        <v>13189950200</v>
      </c>
      <c r="M1808" s="1855">
        <v>0</v>
      </c>
      <c r="N1808" s="1855">
        <v>0</v>
      </c>
      <c r="O1808" s="1856">
        <v>0</v>
      </c>
    </row>
    <row r="1809" spans="3:15" ht="13.5">
      <c r="C1809" s="1861" t="s">
        <v>5599</v>
      </c>
      <c r="D1809" s="1858">
        <v>0</v>
      </c>
      <c r="E1809" s="1858">
        <v>0</v>
      </c>
      <c r="F1809" s="1859">
        <v>0</v>
      </c>
      <c r="G1809" s="1872" t="s">
        <v>5599</v>
      </c>
      <c r="H1809" s="1856">
        <v>0</v>
      </c>
      <c r="I1809" s="1856">
        <v>0</v>
      </c>
      <c r="J1809" s="1873">
        <v>0</v>
      </c>
      <c r="K1809" s="1860"/>
      <c r="L1809" s="1854">
        <v>13189950300</v>
      </c>
      <c r="M1809" s="1855">
        <v>0</v>
      </c>
      <c r="N1809" s="1855">
        <v>0</v>
      </c>
      <c r="O1809" s="1856">
        <v>0</v>
      </c>
    </row>
    <row r="1810" spans="3:15" ht="13.5">
      <c r="C1810" s="1861" t="s">
        <v>5600</v>
      </c>
      <c r="D1810" s="1858">
        <v>0</v>
      </c>
      <c r="E1810" s="1858">
        <v>0</v>
      </c>
      <c r="F1810" s="1859">
        <v>0</v>
      </c>
      <c r="G1810" s="1872" t="s">
        <v>5600</v>
      </c>
      <c r="H1810" s="1856">
        <v>0</v>
      </c>
      <c r="I1810" s="1856">
        <v>0</v>
      </c>
      <c r="J1810" s="1873">
        <v>0</v>
      </c>
      <c r="K1810" s="1860"/>
      <c r="L1810" s="1854">
        <v>13189950400</v>
      </c>
      <c r="M1810" s="1855">
        <v>0</v>
      </c>
      <c r="N1810" s="1855">
        <v>0</v>
      </c>
      <c r="O1810" s="1856">
        <v>0</v>
      </c>
    </row>
    <row r="1811" spans="3:15" ht="13.5">
      <c r="C1811" s="1861" t="s">
        <v>5601</v>
      </c>
      <c r="D1811" s="1858">
        <v>0</v>
      </c>
      <c r="E1811" s="1858">
        <v>0</v>
      </c>
      <c r="F1811" s="1859">
        <v>0</v>
      </c>
      <c r="G1811" s="1872" t="s">
        <v>5601</v>
      </c>
      <c r="H1811" s="1856">
        <v>0</v>
      </c>
      <c r="I1811" s="1856">
        <v>0</v>
      </c>
      <c r="J1811" s="1873">
        <v>0</v>
      </c>
      <c r="K1811" s="1860"/>
      <c r="L1811" s="1854">
        <v>13189950500</v>
      </c>
      <c r="M1811" s="1855">
        <v>0</v>
      </c>
      <c r="N1811" s="1855">
        <v>0</v>
      </c>
      <c r="O1811" s="1856">
        <v>0</v>
      </c>
    </row>
    <row r="1812" spans="3:15" ht="13.5">
      <c r="C1812" s="1861" t="s">
        <v>5602</v>
      </c>
      <c r="D1812" s="1858">
        <v>0</v>
      </c>
      <c r="E1812" s="1858">
        <v>0</v>
      </c>
      <c r="F1812" s="1859">
        <v>0</v>
      </c>
      <c r="G1812" s="1872" t="s">
        <v>5602</v>
      </c>
      <c r="H1812" s="1856">
        <v>0</v>
      </c>
      <c r="I1812" s="1856">
        <v>1</v>
      </c>
      <c r="J1812" s="1873">
        <v>1</v>
      </c>
      <c r="K1812" s="1860"/>
      <c r="L1812" s="1854">
        <v>13191110100</v>
      </c>
      <c r="M1812" s="1855">
        <v>0</v>
      </c>
      <c r="N1812" s="1855">
        <v>1</v>
      </c>
      <c r="O1812" s="1856">
        <v>1</v>
      </c>
    </row>
    <row r="1813" spans="3:15" ht="13.5">
      <c r="C1813" s="1861" t="s">
        <v>5603</v>
      </c>
      <c r="D1813" s="1858">
        <v>0</v>
      </c>
      <c r="E1813" s="1858">
        <v>0</v>
      </c>
      <c r="F1813" s="1859">
        <v>0</v>
      </c>
      <c r="G1813" s="1872" t="s">
        <v>5603</v>
      </c>
      <c r="H1813" s="1856">
        <v>0</v>
      </c>
      <c r="I1813" s="1856">
        <v>0</v>
      </c>
      <c r="J1813" s="1873">
        <v>0</v>
      </c>
      <c r="K1813" s="1860"/>
      <c r="L1813" s="1854">
        <v>13191110200</v>
      </c>
      <c r="M1813" s="1855">
        <v>0</v>
      </c>
      <c r="N1813" s="1855">
        <v>0</v>
      </c>
      <c r="O1813" s="1856">
        <v>0</v>
      </c>
    </row>
    <row r="1814" spans="3:15" ht="13.5">
      <c r="C1814" s="1861" t="s">
        <v>5604</v>
      </c>
      <c r="D1814" s="1858">
        <v>0</v>
      </c>
      <c r="E1814" s="1858">
        <v>0</v>
      </c>
      <c r="F1814" s="1859">
        <v>0</v>
      </c>
      <c r="G1814" s="1872" t="s">
        <v>5604</v>
      </c>
      <c r="H1814" s="1856">
        <v>0</v>
      </c>
      <c r="I1814" s="1856">
        <v>0</v>
      </c>
      <c r="J1814" s="1873">
        <v>0</v>
      </c>
      <c r="K1814" s="1860"/>
      <c r="L1814" s="1854">
        <v>13191110300</v>
      </c>
      <c r="M1814" s="1855">
        <v>0</v>
      </c>
      <c r="N1814" s="1855">
        <v>0</v>
      </c>
      <c r="O1814" s="1856">
        <v>0</v>
      </c>
    </row>
    <row r="1815" spans="3:15" ht="13.5">
      <c r="C1815" s="1861" t="s">
        <v>5605</v>
      </c>
      <c r="D1815" s="1858" t="s">
        <v>3909</v>
      </c>
      <c r="E1815" s="1858" t="s">
        <v>3909</v>
      </c>
      <c r="F1815" s="1859">
        <v>0</v>
      </c>
      <c r="G1815" s="1872" t="s">
        <v>5605</v>
      </c>
      <c r="H1815" s="1856" t="s">
        <v>3909</v>
      </c>
      <c r="I1815" s="1856" t="s">
        <v>3909</v>
      </c>
      <c r="J1815" s="1873">
        <v>0</v>
      </c>
      <c r="K1815" s="1860"/>
      <c r="L1815" s="1854">
        <v>13191980000</v>
      </c>
      <c r="M1815" s="1855">
        <v>0</v>
      </c>
      <c r="N1815" s="1855">
        <v>0</v>
      </c>
      <c r="O1815" s="1856">
        <v>0</v>
      </c>
    </row>
    <row r="1816" spans="3:15" ht="13.5">
      <c r="C1816" s="1861" t="s">
        <v>5606</v>
      </c>
      <c r="D1816" s="1858" t="s">
        <v>3909</v>
      </c>
      <c r="E1816" s="1858" t="s">
        <v>3909</v>
      </c>
      <c r="F1816" s="1859">
        <v>0</v>
      </c>
      <c r="G1816" s="1872" t="s">
        <v>5606</v>
      </c>
      <c r="H1816" s="1856" t="s">
        <v>3909</v>
      </c>
      <c r="I1816" s="1856" t="s">
        <v>3909</v>
      </c>
      <c r="J1816" s="1873">
        <v>0</v>
      </c>
      <c r="K1816" s="1860"/>
      <c r="L1816" s="1854">
        <v>13191990000</v>
      </c>
      <c r="M1816" s="1855">
        <v>0</v>
      </c>
      <c r="N1816" s="1855">
        <v>0</v>
      </c>
      <c r="O1816" s="1856">
        <v>0</v>
      </c>
    </row>
    <row r="1817" spans="3:15" ht="13.5">
      <c r="C1817" s="1861" t="s">
        <v>5607</v>
      </c>
      <c r="D1817" s="1858">
        <v>0</v>
      </c>
      <c r="E1817" s="1858">
        <v>0</v>
      </c>
      <c r="F1817" s="1859">
        <v>0</v>
      </c>
      <c r="G1817" s="1872" t="s">
        <v>5607</v>
      </c>
      <c r="H1817" s="1856">
        <v>0</v>
      </c>
      <c r="I1817" s="1856" t="s">
        <v>3909</v>
      </c>
      <c r="J1817" s="1873">
        <v>0</v>
      </c>
      <c r="K1817" s="1860"/>
      <c r="L1817" s="1854">
        <v>13193000100</v>
      </c>
      <c r="M1817" s="1855">
        <v>0</v>
      </c>
      <c r="N1817" s="1855">
        <v>0</v>
      </c>
      <c r="O1817" s="1856">
        <v>0</v>
      </c>
    </row>
    <row r="1818" spans="3:15" ht="13.5">
      <c r="C1818" s="1861" t="s">
        <v>5608</v>
      </c>
      <c r="D1818" s="1858">
        <v>0</v>
      </c>
      <c r="E1818" s="1858">
        <v>0</v>
      </c>
      <c r="F1818" s="1859">
        <v>0</v>
      </c>
      <c r="G1818" s="1872" t="s">
        <v>5608</v>
      </c>
      <c r="H1818" s="1856">
        <v>0</v>
      </c>
      <c r="I1818" s="1856">
        <v>0</v>
      </c>
      <c r="J1818" s="1873">
        <v>0</v>
      </c>
      <c r="K1818" s="1860"/>
      <c r="L1818" s="1854">
        <v>13193000200</v>
      </c>
      <c r="M1818" s="1855">
        <v>0</v>
      </c>
      <c r="N1818" s="1855">
        <v>0</v>
      </c>
      <c r="O1818" s="1856">
        <v>0</v>
      </c>
    </row>
    <row r="1819" spans="3:15" ht="13.5">
      <c r="C1819" s="1861" t="s">
        <v>5609</v>
      </c>
      <c r="D1819" s="1858">
        <v>0</v>
      </c>
      <c r="E1819" s="1858">
        <v>0</v>
      </c>
      <c r="F1819" s="1859">
        <v>0</v>
      </c>
      <c r="G1819" s="1872" t="s">
        <v>5609</v>
      </c>
      <c r="H1819" s="1856">
        <v>0</v>
      </c>
      <c r="I1819" s="1856">
        <v>1</v>
      </c>
      <c r="J1819" s="1873">
        <v>1</v>
      </c>
      <c r="K1819" s="1860"/>
      <c r="L1819" s="1854">
        <v>13193000300</v>
      </c>
      <c r="M1819" s="1855">
        <v>0</v>
      </c>
      <c r="N1819" s="1855">
        <v>1</v>
      </c>
      <c r="O1819" s="1856">
        <v>1</v>
      </c>
    </row>
    <row r="1820" spans="3:15" ht="13.5">
      <c r="C1820" s="1861" t="s">
        <v>5610</v>
      </c>
      <c r="D1820" s="1858">
        <v>0</v>
      </c>
      <c r="E1820" s="1858">
        <v>0</v>
      </c>
      <c r="F1820" s="1859">
        <v>0</v>
      </c>
      <c r="G1820" s="1872" t="s">
        <v>5610</v>
      </c>
      <c r="H1820" s="1856">
        <v>0</v>
      </c>
      <c r="I1820" s="1856">
        <v>0</v>
      </c>
      <c r="J1820" s="1873">
        <v>0</v>
      </c>
      <c r="K1820" s="1860"/>
      <c r="L1820" s="1854">
        <v>13193000400</v>
      </c>
      <c r="M1820" s="1855">
        <v>0</v>
      </c>
      <c r="N1820" s="1855">
        <v>0</v>
      </c>
      <c r="O1820" s="1856">
        <v>0</v>
      </c>
    </row>
    <row r="1821" spans="3:15" ht="13.5">
      <c r="C1821" s="1861" t="s">
        <v>5611</v>
      </c>
      <c r="D1821" s="1858">
        <v>0</v>
      </c>
      <c r="E1821" s="1858">
        <v>0</v>
      </c>
      <c r="F1821" s="1859">
        <v>0</v>
      </c>
      <c r="G1821" s="1872" t="s">
        <v>5611</v>
      </c>
      <c r="H1821" s="1856">
        <v>0</v>
      </c>
      <c r="I1821" s="1856">
        <v>0</v>
      </c>
      <c r="J1821" s="1873">
        <v>0</v>
      </c>
      <c r="K1821" s="1860"/>
      <c r="L1821" s="1854">
        <v>13195020100</v>
      </c>
      <c r="M1821" s="1855">
        <v>0</v>
      </c>
      <c r="N1821" s="1855">
        <v>0</v>
      </c>
      <c r="O1821" s="1856">
        <v>0</v>
      </c>
    </row>
    <row r="1822" spans="3:15" ht="13.5">
      <c r="C1822" s="1861" t="s">
        <v>5612</v>
      </c>
      <c r="D1822" s="1858">
        <v>0</v>
      </c>
      <c r="E1822" s="1858">
        <v>0</v>
      </c>
      <c r="F1822" s="1859">
        <v>0</v>
      </c>
      <c r="G1822" s="1872" t="s">
        <v>5612</v>
      </c>
      <c r="H1822" s="1856">
        <v>0</v>
      </c>
      <c r="I1822" s="1856">
        <v>0</v>
      </c>
      <c r="J1822" s="1873">
        <v>0</v>
      </c>
      <c r="K1822" s="1860"/>
      <c r="L1822" s="1854">
        <v>13195020200</v>
      </c>
      <c r="M1822" s="1855">
        <v>0</v>
      </c>
      <c r="N1822" s="1855">
        <v>0</v>
      </c>
      <c r="O1822" s="1856">
        <v>0</v>
      </c>
    </row>
    <row r="1823" spans="3:15" ht="13.5">
      <c r="C1823" s="1861" t="s">
        <v>5613</v>
      </c>
      <c r="D1823" s="1858">
        <v>0</v>
      </c>
      <c r="E1823" s="1858">
        <v>0</v>
      </c>
      <c r="F1823" s="1859">
        <v>0</v>
      </c>
      <c r="G1823" s="1872" t="s">
        <v>5613</v>
      </c>
      <c r="H1823" s="1856">
        <v>0</v>
      </c>
      <c r="I1823" s="1856">
        <v>0</v>
      </c>
      <c r="J1823" s="1873">
        <v>0</v>
      </c>
      <c r="K1823" s="1860"/>
      <c r="L1823" s="1854">
        <v>13195020300</v>
      </c>
      <c r="M1823" s="1855">
        <v>0</v>
      </c>
      <c r="N1823" s="1855">
        <v>0</v>
      </c>
      <c r="O1823" s="1856">
        <v>0</v>
      </c>
    </row>
    <row r="1824" spans="3:15" ht="13.5">
      <c r="C1824" s="1861" t="s">
        <v>5614</v>
      </c>
      <c r="D1824" s="1858">
        <v>1</v>
      </c>
      <c r="E1824" s="1858">
        <v>1</v>
      </c>
      <c r="F1824" s="1859">
        <v>2</v>
      </c>
      <c r="G1824" s="1872" t="s">
        <v>5614</v>
      </c>
      <c r="H1824" s="1856">
        <v>0</v>
      </c>
      <c r="I1824" s="1856">
        <v>0</v>
      </c>
      <c r="J1824" s="1873">
        <v>0</v>
      </c>
      <c r="K1824" s="1860"/>
      <c r="L1824" s="1854">
        <v>13195020400</v>
      </c>
      <c r="M1824" s="1855">
        <v>1</v>
      </c>
      <c r="N1824" s="1855">
        <v>1</v>
      </c>
      <c r="O1824" s="1856">
        <v>2</v>
      </c>
    </row>
    <row r="1825" spans="3:15" ht="13.5">
      <c r="C1825" s="1861" t="s">
        <v>5615</v>
      </c>
      <c r="D1825" s="1858">
        <v>0</v>
      </c>
      <c r="E1825" s="1858">
        <v>1</v>
      </c>
      <c r="F1825" s="1859">
        <v>1</v>
      </c>
      <c r="G1825" s="1872" t="s">
        <v>5615</v>
      </c>
      <c r="H1825" s="1856">
        <v>0</v>
      </c>
      <c r="I1825" s="1856">
        <v>0</v>
      </c>
      <c r="J1825" s="1873">
        <v>0</v>
      </c>
      <c r="K1825" s="1860"/>
      <c r="L1825" s="1854">
        <v>13195020500</v>
      </c>
      <c r="M1825" s="1855">
        <v>0</v>
      </c>
      <c r="N1825" s="1855">
        <v>1</v>
      </c>
      <c r="O1825" s="1856">
        <v>1</v>
      </c>
    </row>
    <row r="1826" spans="3:15" ht="13.5">
      <c r="C1826" s="1861" t="s">
        <v>5616</v>
      </c>
      <c r="D1826" s="1858">
        <v>1</v>
      </c>
      <c r="E1826" s="1858">
        <v>0</v>
      </c>
      <c r="F1826" s="1859">
        <v>1</v>
      </c>
      <c r="G1826" s="1872" t="s">
        <v>5616</v>
      </c>
      <c r="H1826" s="1856">
        <v>0</v>
      </c>
      <c r="I1826" s="1856">
        <v>0</v>
      </c>
      <c r="J1826" s="1873">
        <v>0</v>
      </c>
      <c r="K1826" s="1860"/>
      <c r="L1826" s="1854">
        <v>13195020600</v>
      </c>
      <c r="M1826" s="1855">
        <v>1</v>
      </c>
      <c r="N1826" s="1855">
        <v>0</v>
      </c>
      <c r="O1826" s="1856">
        <v>1</v>
      </c>
    </row>
    <row r="1827" spans="3:15" ht="13.5">
      <c r="C1827" s="1861" t="s">
        <v>5617</v>
      </c>
      <c r="D1827" s="1858">
        <v>0</v>
      </c>
      <c r="E1827" s="1858">
        <v>0</v>
      </c>
      <c r="F1827" s="1859">
        <v>0</v>
      </c>
      <c r="G1827" s="1872" t="s">
        <v>5617</v>
      </c>
      <c r="H1827" s="1856">
        <v>0</v>
      </c>
      <c r="I1827" s="1856">
        <v>0</v>
      </c>
      <c r="J1827" s="1873">
        <v>0</v>
      </c>
      <c r="K1827" s="1860"/>
      <c r="L1827" s="1854">
        <v>13197920100</v>
      </c>
      <c r="M1827" s="1855">
        <v>0</v>
      </c>
      <c r="N1827" s="1855">
        <v>0</v>
      </c>
      <c r="O1827" s="1856">
        <v>0</v>
      </c>
    </row>
    <row r="1828" spans="3:15" ht="13.5">
      <c r="C1828" s="1861" t="s">
        <v>5618</v>
      </c>
      <c r="D1828" s="1858">
        <v>0</v>
      </c>
      <c r="E1828" s="1858">
        <v>0</v>
      </c>
      <c r="F1828" s="1859">
        <v>0</v>
      </c>
      <c r="G1828" s="1872" t="s">
        <v>5618</v>
      </c>
      <c r="H1828" s="1856">
        <v>0</v>
      </c>
      <c r="I1828" s="1856">
        <v>0</v>
      </c>
      <c r="J1828" s="1873">
        <v>0</v>
      </c>
      <c r="K1828" s="1860"/>
      <c r="L1828" s="1854">
        <v>13197920200</v>
      </c>
      <c r="M1828" s="1855">
        <v>0</v>
      </c>
      <c r="N1828" s="1855">
        <v>0</v>
      </c>
      <c r="O1828" s="1856">
        <v>0</v>
      </c>
    </row>
    <row r="1829" spans="3:15" ht="13.5">
      <c r="C1829" s="1861" t="s">
        <v>5619</v>
      </c>
      <c r="D1829" s="1858">
        <v>0</v>
      </c>
      <c r="E1829" s="1858">
        <v>0</v>
      </c>
      <c r="F1829" s="1859">
        <v>0</v>
      </c>
      <c r="G1829" s="1872" t="s">
        <v>5619</v>
      </c>
      <c r="H1829" s="1856">
        <v>0</v>
      </c>
      <c r="I1829" s="1856">
        <v>0</v>
      </c>
      <c r="J1829" s="1873">
        <v>0</v>
      </c>
      <c r="K1829" s="1860"/>
      <c r="L1829" s="1854">
        <v>13199970500</v>
      </c>
      <c r="M1829" s="1855">
        <v>0</v>
      </c>
      <c r="N1829" s="1855">
        <v>0</v>
      </c>
      <c r="O1829" s="1856">
        <v>0</v>
      </c>
    </row>
    <row r="1830" spans="3:15" ht="13.5">
      <c r="C1830" s="1861" t="s">
        <v>5620</v>
      </c>
      <c r="D1830" s="1858">
        <v>0</v>
      </c>
      <c r="E1830" s="1858">
        <v>0</v>
      </c>
      <c r="F1830" s="1859">
        <v>0</v>
      </c>
      <c r="G1830" s="1872" t="s">
        <v>5620</v>
      </c>
      <c r="H1830" s="1856">
        <v>0</v>
      </c>
      <c r="I1830" s="1856">
        <v>0</v>
      </c>
      <c r="J1830" s="1873">
        <v>0</v>
      </c>
      <c r="K1830" s="1860"/>
      <c r="L1830" s="1854">
        <v>13199970600</v>
      </c>
      <c r="M1830" s="1855">
        <v>0</v>
      </c>
      <c r="N1830" s="1855">
        <v>0</v>
      </c>
      <c r="O1830" s="1856">
        <v>0</v>
      </c>
    </row>
    <row r="1831" spans="3:15" ht="13.5">
      <c r="C1831" s="1861" t="s">
        <v>5621</v>
      </c>
      <c r="D1831" s="1858">
        <v>0</v>
      </c>
      <c r="E1831" s="1858">
        <v>0</v>
      </c>
      <c r="F1831" s="1859">
        <v>0</v>
      </c>
      <c r="G1831" s="1872" t="s">
        <v>5621</v>
      </c>
      <c r="H1831" s="1856">
        <v>0</v>
      </c>
      <c r="I1831" s="1856">
        <v>0</v>
      </c>
      <c r="J1831" s="1873">
        <v>0</v>
      </c>
      <c r="K1831" s="1860"/>
      <c r="L1831" s="1854">
        <v>13199970700</v>
      </c>
      <c r="M1831" s="1855">
        <v>0</v>
      </c>
      <c r="N1831" s="1855">
        <v>0</v>
      </c>
      <c r="O1831" s="1856">
        <v>0</v>
      </c>
    </row>
    <row r="1832" spans="3:15" ht="13.5">
      <c r="C1832" s="1861" t="s">
        <v>5622</v>
      </c>
      <c r="D1832" s="1858">
        <v>0</v>
      </c>
      <c r="E1832" s="1858">
        <v>0</v>
      </c>
      <c r="F1832" s="1859">
        <v>0</v>
      </c>
      <c r="G1832" s="1872" t="s">
        <v>5622</v>
      </c>
      <c r="H1832" s="1856">
        <v>0</v>
      </c>
      <c r="I1832" s="1856">
        <v>0</v>
      </c>
      <c r="J1832" s="1873">
        <v>0</v>
      </c>
      <c r="K1832" s="1860"/>
      <c r="L1832" s="1854">
        <v>13199970800</v>
      </c>
      <c r="M1832" s="1855">
        <v>0</v>
      </c>
      <c r="N1832" s="1855">
        <v>0</v>
      </c>
      <c r="O1832" s="1856">
        <v>0</v>
      </c>
    </row>
    <row r="1833" spans="3:15" ht="13.5">
      <c r="C1833" s="1861" t="s">
        <v>5623</v>
      </c>
      <c r="D1833" s="1858">
        <v>0</v>
      </c>
      <c r="E1833" s="1858">
        <v>0</v>
      </c>
      <c r="F1833" s="1859">
        <v>0</v>
      </c>
      <c r="G1833" s="1872" t="s">
        <v>5623</v>
      </c>
      <c r="H1833" s="1856">
        <v>0</v>
      </c>
      <c r="I1833" s="1856">
        <v>0</v>
      </c>
      <c r="J1833" s="1873">
        <v>0</v>
      </c>
      <c r="K1833" s="1860"/>
      <c r="L1833" s="1854">
        <v>13201950100</v>
      </c>
      <c r="M1833" s="1855">
        <v>0</v>
      </c>
      <c r="N1833" s="1855">
        <v>0</v>
      </c>
      <c r="O1833" s="1856">
        <v>0</v>
      </c>
    </row>
    <row r="1834" spans="3:15" ht="13.5">
      <c r="C1834" s="1861" t="s">
        <v>5624</v>
      </c>
      <c r="D1834" s="1858">
        <v>0</v>
      </c>
      <c r="E1834" s="1858">
        <v>0</v>
      </c>
      <c r="F1834" s="1859">
        <v>0</v>
      </c>
      <c r="G1834" s="1872" t="s">
        <v>5624</v>
      </c>
      <c r="H1834" s="1856">
        <v>0</v>
      </c>
      <c r="I1834" s="1856">
        <v>0</v>
      </c>
      <c r="J1834" s="1873">
        <v>0</v>
      </c>
      <c r="K1834" s="1860"/>
      <c r="L1834" s="1854">
        <v>13201950200</v>
      </c>
      <c r="M1834" s="1855">
        <v>0</v>
      </c>
      <c r="N1834" s="1855">
        <v>0</v>
      </c>
      <c r="O1834" s="1856">
        <v>0</v>
      </c>
    </row>
    <row r="1835" spans="3:15" ht="13.5">
      <c r="C1835" s="1861" t="s">
        <v>5625</v>
      </c>
      <c r="D1835" s="1858">
        <v>1</v>
      </c>
      <c r="E1835" s="1858">
        <v>0</v>
      </c>
      <c r="F1835" s="1859">
        <v>1</v>
      </c>
      <c r="G1835" s="1872" t="s">
        <v>5625</v>
      </c>
      <c r="H1835" s="1856">
        <v>1</v>
      </c>
      <c r="I1835" s="1856">
        <v>1</v>
      </c>
      <c r="J1835" s="1873">
        <v>2</v>
      </c>
      <c r="K1835" s="1860"/>
      <c r="L1835" s="1854">
        <v>13201950300</v>
      </c>
      <c r="M1835" s="1855">
        <v>1</v>
      </c>
      <c r="N1835" s="1855">
        <v>1</v>
      </c>
      <c r="O1835" s="1856">
        <v>2</v>
      </c>
    </row>
    <row r="1836" spans="3:15" ht="13.5">
      <c r="C1836" s="1861" t="s">
        <v>5626</v>
      </c>
      <c r="D1836" s="1858">
        <v>0</v>
      </c>
      <c r="E1836" s="1858">
        <v>0</v>
      </c>
      <c r="F1836" s="1859">
        <v>0</v>
      </c>
      <c r="G1836" s="1872" t="s">
        <v>5626</v>
      </c>
      <c r="H1836" s="1856">
        <v>0</v>
      </c>
      <c r="I1836" s="1856">
        <v>0</v>
      </c>
      <c r="J1836" s="1873">
        <v>0</v>
      </c>
      <c r="K1836" s="1860"/>
      <c r="L1836" s="1854">
        <v>13205090100</v>
      </c>
      <c r="M1836" s="1855">
        <v>0</v>
      </c>
      <c r="N1836" s="1855">
        <v>0</v>
      </c>
      <c r="O1836" s="1856">
        <v>0</v>
      </c>
    </row>
    <row r="1837" spans="3:15" ht="13.5">
      <c r="C1837" s="1861" t="s">
        <v>5627</v>
      </c>
      <c r="D1837" s="1858">
        <v>0</v>
      </c>
      <c r="E1837" s="1858">
        <v>0</v>
      </c>
      <c r="F1837" s="1859">
        <v>0</v>
      </c>
      <c r="G1837" s="1872" t="s">
        <v>5627</v>
      </c>
      <c r="H1837" s="1856">
        <v>0</v>
      </c>
      <c r="I1837" s="1856">
        <v>0</v>
      </c>
      <c r="J1837" s="1873">
        <v>0</v>
      </c>
      <c r="K1837" s="1860"/>
      <c r="L1837" s="1854">
        <v>13205090200</v>
      </c>
      <c r="M1837" s="1855">
        <v>0</v>
      </c>
      <c r="N1837" s="1855">
        <v>0</v>
      </c>
      <c r="O1837" s="1856">
        <v>0</v>
      </c>
    </row>
    <row r="1838" spans="3:15" ht="13.5">
      <c r="C1838" s="1861" t="s">
        <v>5628</v>
      </c>
      <c r="D1838" s="1858">
        <v>0</v>
      </c>
      <c r="E1838" s="1858">
        <v>0</v>
      </c>
      <c r="F1838" s="1859">
        <v>0</v>
      </c>
      <c r="G1838" s="1872" t="s">
        <v>5628</v>
      </c>
      <c r="H1838" s="1856">
        <v>0</v>
      </c>
      <c r="I1838" s="1856">
        <v>0</v>
      </c>
      <c r="J1838" s="1873">
        <v>0</v>
      </c>
      <c r="K1838" s="1860"/>
      <c r="L1838" s="1854">
        <v>13205090300</v>
      </c>
      <c r="M1838" s="1855">
        <v>0</v>
      </c>
      <c r="N1838" s="1855">
        <v>0</v>
      </c>
      <c r="O1838" s="1856">
        <v>0</v>
      </c>
    </row>
    <row r="1839" spans="3:15" ht="13.5">
      <c r="C1839" s="1861" t="s">
        <v>5629</v>
      </c>
      <c r="D1839" s="1858">
        <v>0</v>
      </c>
      <c r="E1839" s="1858">
        <v>0</v>
      </c>
      <c r="F1839" s="1859">
        <v>0</v>
      </c>
      <c r="G1839" s="1872" t="s">
        <v>5629</v>
      </c>
      <c r="H1839" s="1856">
        <v>0</v>
      </c>
      <c r="I1839" s="1856">
        <v>0</v>
      </c>
      <c r="J1839" s="1873">
        <v>0</v>
      </c>
      <c r="K1839" s="1860"/>
      <c r="L1839" s="1854">
        <v>13205090400</v>
      </c>
      <c r="M1839" s="1855">
        <v>0</v>
      </c>
      <c r="N1839" s="1855">
        <v>0</v>
      </c>
      <c r="O1839" s="1856">
        <v>0</v>
      </c>
    </row>
    <row r="1840" spans="3:15" ht="13.5">
      <c r="C1840" s="1861" t="s">
        <v>5630</v>
      </c>
      <c r="D1840" s="1858">
        <v>0</v>
      </c>
      <c r="E1840" s="1858">
        <v>0</v>
      </c>
      <c r="F1840" s="1859">
        <v>0</v>
      </c>
      <c r="G1840" s="1872" t="s">
        <v>5630</v>
      </c>
      <c r="H1840" s="1856">
        <v>0</v>
      </c>
      <c r="I1840" s="1856">
        <v>0</v>
      </c>
      <c r="J1840" s="1873">
        <v>0</v>
      </c>
      <c r="K1840" s="1860"/>
      <c r="L1840" s="1854">
        <v>13205090500</v>
      </c>
      <c r="M1840" s="1855">
        <v>0</v>
      </c>
      <c r="N1840" s="1855">
        <v>0</v>
      </c>
      <c r="O1840" s="1856">
        <v>0</v>
      </c>
    </row>
    <row r="1841" spans="3:15" ht="13.5">
      <c r="C1841" s="1861" t="s">
        <v>5631</v>
      </c>
      <c r="D1841" s="1858">
        <v>0</v>
      </c>
      <c r="E1841" s="1858">
        <v>0</v>
      </c>
      <c r="F1841" s="1859">
        <v>0</v>
      </c>
      <c r="G1841" s="1872" t="s">
        <v>5631</v>
      </c>
      <c r="H1841" s="1856">
        <v>0</v>
      </c>
      <c r="I1841" s="1856">
        <v>0</v>
      </c>
      <c r="J1841" s="1873">
        <v>0</v>
      </c>
      <c r="K1841" s="1860"/>
      <c r="L1841" s="1854">
        <v>13207050101</v>
      </c>
      <c r="M1841" s="1855">
        <v>0</v>
      </c>
      <c r="N1841" s="1855">
        <v>0</v>
      </c>
      <c r="O1841" s="1856">
        <v>0</v>
      </c>
    </row>
    <row r="1842" spans="3:15" ht="13.5">
      <c r="C1842" s="1861" t="s">
        <v>5632</v>
      </c>
      <c r="D1842" s="1858">
        <v>0</v>
      </c>
      <c r="E1842" s="1858">
        <v>0</v>
      </c>
      <c r="F1842" s="1859">
        <v>0</v>
      </c>
      <c r="G1842" s="1872" t="s">
        <v>5632</v>
      </c>
      <c r="H1842" s="1856">
        <v>0</v>
      </c>
      <c r="I1842" s="1856">
        <v>0</v>
      </c>
      <c r="J1842" s="1873">
        <v>0</v>
      </c>
      <c r="K1842" s="1860"/>
      <c r="L1842" s="1854">
        <v>13207050102</v>
      </c>
      <c r="M1842" s="1855">
        <v>0</v>
      </c>
      <c r="N1842" s="1855">
        <v>0</v>
      </c>
      <c r="O1842" s="1856">
        <v>0</v>
      </c>
    </row>
    <row r="1843" spans="3:15" ht="13.5">
      <c r="C1843" s="1861" t="s">
        <v>5633</v>
      </c>
      <c r="D1843" s="1858">
        <v>0</v>
      </c>
      <c r="E1843" s="1858">
        <v>0</v>
      </c>
      <c r="F1843" s="1859">
        <v>0</v>
      </c>
      <c r="G1843" s="1872" t="s">
        <v>5633</v>
      </c>
      <c r="H1843" s="1856">
        <v>0</v>
      </c>
      <c r="I1843" s="1856">
        <v>0</v>
      </c>
      <c r="J1843" s="1873">
        <v>0</v>
      </c>
      <c r="K1843" s="1860"/>
      <c r="L1843" s="1854">
        <v>13207050200</v>
      </c>
      <c r="M1843" s="1855">
        <v>0</v>
      </c>
      <c r="N1843" s="1855">
        <v>0</v>
      </c>
      <c r="O1843" s="1856">
        <v>0</v>
      </c>
    </row>
    <row r="1844" spans="3:15" ht="13.5">
      <c r="C1844" s="1861" t="s">
        <v>5634</v>
      </c>
      <c r="D1844" s="1858">
        <v>0</v>
      </c>
      <c r="E1844" s="1858">
        <v>1</v>
      </c>
      <c r="F1844" s="1859">
        <v>1</v>
      </c>
      <c r="G1844" s="1872" t="s">
        <v>5634</v>
      </c>
      <c r="H1844" s="1856">
        <v>0</v>
      </c>
      <c r="I1844" s="1856">
        <v>1</v>
      </c>
      <c r="J1844" s="1873">
        <v>1</v>
      </c>
      <c r="K1844" s="1860"/>
      <c r="L1844" s="1854">
        <v>13207050301</v>
      </c>
      <c r="M1844" s="1855">
        <v>0</v>
      </c>
      <c r="N1844" s="1855">
        <v>1</v>
      </c>
      <c r="O1844" s="1856">
        <v>1</v>
      </c>
    </row>
    <row r="1845" spans="3:15" ht="13.5">
      <c r="C1845" s="1861" t="s">
        <v>5635</v>
      </c>
      <c r="D1845" s="1858">
        <v>1</v>
      </c>
      <c r="E1845" s="1858">
        <v>1</v>
      </c>
      <c r="F1845" s="1859">
        <v>2</v>
      </c>
      <c r="G1845" s="1872" t="s">
        <v>5635</v>
      </c>
      <c r="H1845" s="1856">
        <v>1</v>
      </c>
      <c r="I1845" s="1856">
        <v>1</v>
      </c>
      <c r="J1845" s="1873">
        <v>2</v>
      </c>
      <c r="K1845" s="1860"/>
      <c r="L1845" s="1854">
        <v>13207050302</v>
      </c>
      <c r="M1845" s="1855">
        <v>1</v>
      </c>
      <c r="N1845" s="1855">
        <v>1</v>
      </c>
      <c r="O1845" s="1856">
        <v>2</v>
      </c>
    </row>
    <row r="1846" spans="3:15" ht="13.5">
      <c r="C1846" s="1861" t="s">
        <v>5636</v>
      </c>
      <c r="D1846" s="1858">
        <v>0</v>
      </c>
      <c r="E1846" s="1858">
        <v>0</v>
      </c>
      <c r="F1846" s="1859">
        <v>0</v>
      </c>
      <c r="G1846" s="1872" t="s">
        <v>5636</v>
      </c>
      <c r="H1846" s="1856">
        <v>0</v>
      </c>
      <c r="I1846" s="1856">
        <v>0</v>
      </c>
      <c r="J1846" s="1873">
        <v>0</v>
      </c>
      <c r="K1846" s="1860"/>
      <c r="L1846" s="1854">
        <v>13209950100</v>
      </c>
      <c r="M1846" s="1855">
        <v>0</v>
      </c>
      <c r="N1846" s="1855">
        <v>0</v>
      </c>
      <c r="O1846" s="1856">
        <v>0</v>
      </c>
    </row>
    <row r="1847" spans="3:15" ht="13.5">
      <c r="C1847" s="1861" t="s">
        <v>5637</v>
      </c>
      <c r="D1847" s="1858">
        <v>0</v>
      </c>
      <c r="E1847" s="1858">
        <v>0</v>
      </c>
      <c r="F1847" s="1859">
        <v>0</v>
      </c>
      <c r="G1847" s="1872" t="s">
        <v>5637</v>
      </c>
      <c r="H1847" s="1856">
        <v>0</v>
      </c>
      <c r="I1847" s="1856">
        <v>1</v>
      </c>
      <c r="J1847" s="1873">
        <v>1</v>
      </c>
      <c r="K1847" s="1860"/>
      <c r="L1847" s="1854">
        <v>13209950200</v>
      </c>
      <c r="M1847" s="1855">
        <v>0</v>
      </c>
      <c r="N1847" s="1855">
        <v>1</v>
      </c>
      <c r="O1847" s="1856">
        <v>1</v>
      </c>
    </row>
    <row r="1848" spans="3:15" ht="13.5">
      <c r="C1848" s="1861" t="s">
        <v>5638</v>
      </c>
      <c r="D1848" s="1858">
        <v>0</v>
      </c>
      <c r="E1848" s="1858">
        <v>0</v>
      </c>
      <c r="F1848" s="1859">
        <v>0</v>
      </c>
      <c r="G1848" s="1872" t="s">
        <v>5638</v>
      </c>
      <c r="H1848" s="1856">
        <v>0</v>
      </c>
      <c r="I1848" s="1856">
        <v>0</v>
      </c>
      <c r="J1848" s="1873">
        <v>0</v>
      </c>
      <c r="K1848" s="1860"/>
      <c r="L1848" s="1854">
        <v>13209950300</v>
      </c>
      <c r="M1848" s="1855">
        <v>0</v>
      </c>
      <c r="N1848" s="1855">
        <v>0</v>
      </c>
      <c r="O1848" s="1856">
        <v>0</v>
      </c>
    </row>
    <row r="1849" spans="3:15" ht="13.5">
      <c r="C1849" s="1861" t="s">
        <v>5639</v>
      </c>
      <c r="D1849" s="1858">
        <v>1</v>
      </c>
      <c r="E1849" s="1858">
        <v>1</v>
      </c>
      <c r="F1849" s="1859">
        <v>2</v>
      </c>
      <c r="G1849" s="1872" t="s">
        <v>5639</v>
      </c>
      <c r="H1849" s="1856">
        <v>1</v>
      </c>
      <c r="I1849" s="1856">
        <v>1</v>
      </c>
      <c r="J1849" s="1873">
        <v>2</v>
      </c>
      <c r="K1849" s="1860"/>
      <c r="L1849" s="1854">
        <v>13211010100</v>
      </c>
      <c r="M1849" s="1855">
        <v>1</v>
      </c>
      <c r="N1849" s="1855">
        <v>1</v>
      </c>
      <c r="O1849" s="1856">
        <v>2</v>
      </c>
    </row>
    <row r="1850" spans="3:15" ht="13.5">
      <c r="C1850" s="1861" t="s">
        <v>5640</v>
      </c>
      <c r="D1850" s="1858">
        <v>0</v>
      </c>
      <c r="E1850" s="1858">
        <v>0</v>
      </c>
      <c r="F1850" s="1859">
        <v>0</v>
      </c>
      <c r="G1850" s="1872" t="s">
        <v>5640</v>
      </c>
      <c r="H1850" s="1856">
        <v>0</v>
      </c>
      <c r="I1850" s="1856">
        <v>0</v>
      </c>
      <c r="J1850" s="1873">
        <v>0</v>
      </c>
      <c r="K1850" s="1860"/>
      <c r="L1850" s="1854">
        <v>13211010200</v>
      </c>
      <c r="M1850" s="1855">
        <v>0</v>
      </c>
      <c r="N1850" s="1855">
        <v>0</v>
      </c>
      <c r="O1850" s="1856">
        <v>0</v>
      </c>
    </row>
    <row r="1851" spans="3:15" ht="13.5">
      <c r="C1851" s="1861" t="s">
        <v>5641</v>
      </c>
      <c r="D1851" s="1858">
        <v>1</v>
      </c>
      <c r="E1851" s="1858">
        <v>1</v>
      </c>
      <c r="F1851" s="1859">
        <v>2</v>
      </c>
      <c r="G1851" s="1872" t="s">
        <v>5641</v>
      </c>
      <c r="H1851" s="1856">
        <v>0</v>
      </c>
      <c r="I1851" s="1856">
        <v>1</v>
      </c>
      <c r="J1851" s="1873">
        <v>1</v>
      </c>
      <c r="K1851" s="1860"/>
      <c r="L1851" s="1854">
        <v>13211010300</v>
      </c>
      <c r="M1851" s="1855">
        <v>1</v>
      </c>
      <c r="N1851" s="1855">
        <v>1</v>
      </c>
      <c r="O1851" s="1856">
        <v>2</v>
      </c>
    </row>
    <row r="1852" spans="3:15" ht="13.5">
      <c r="C1852" s="1861" t="s">
        <v>5642</v>
      </c>
      <c r="D1852" s="1858">
        <v>1</v>
      </c>
      <c r="E1852" s="1858">
        <v>0</v>
      </c>
      <c r="F1852" s="1859">
        <v>1</v>
      </c>
      <c r="G1852" s="1872" t="s">
        <v>5642</v>
      </c>
      <c r="H1852" s="1856">
        <v>1</v>
      </c>
      <c r="I1852" s="1856">
        <v>0</v>
      </c>
      <c r="J1852" s="1873">
        <v>1</v>
      </c>
      <c r="K1852" s="1860"/>
      <c r="L1852" s="1854">
        <v>13211010400</v>
      </c>
      <c r="M1852" s="1855">
        <v>1</v>
      </c>
      <c r="N1852" s="1855">
        <v>0</v>
      </c>
      <c r="O1852" s="1856">
        <v>1</v>
      </c>
    </row>
    <row r="1853" spans="3:15" ht="13.5">
      <c r="C1853" s="1861" t="s">
        <v>5643</v>
      </c>
      <c r="D1853" s="1858">
        <v>1</v>
      </c>
      <c r="E1853" s="1858">
        <v>1</v>
      </c>
      <c r="F1853" s="1859">
        <v>2</v>
      </c>
      <c r="G1853" s="1872" t="s">
        <v>5643</v>
      </c>
      <c r="H1853" s="1856">
        <v>1</v>
      </c>
      <c r="I1853" s="1856">
        <v>0</v>
      </c>
      <c r="J1853" s="1873">
        <v>1</v>
      </c>
      <c r="K1853" s="1860"/>
      <c r="L1853" s="1854">
        <v>13211010500</v>
      </c>
      <c r="M1853" s="1855">
        <v>1</v>
      </c>
      <c r="N1853" s="1855">
        <v>1</v>
      </c>
      <c r="O1853" s="1856">
        <v>2</v>
      </c>
    </row>
    <row r="1854" spans="3:15" ht="13.5">
      <c r="C1854" s="1861" t="s">
        <v>5644</v>
      </c>
      <c r="D1854" s="1858">
        <v>0</v>
      </c>
      <c r="E1854" s="1858">
        <v>0</v>
      </c>
      <c r="F1854" s="1859">
        <v>0</v>
      </c>
      <c r="G1854" s="1872" t="s">
        <v>5644</v>
      </c>
      <c r="H1854" s="1856">
        <v>0</v>
      </c>
      <c r="I1854" s="1856">
        <v>0</v>
      </c>
      <c r="J1854" s="1873">
        <v>0</v>
      </c>
      <c r="K1854" s="1860"/>
      <c r="L1854" s="1854">
        <v>13213010100</v>
      </c>
      <c r="M1854" s="1855">
        <v>0</v>
      </c>
      <c r="N1854" s="1855">
        <v>0</v>
      </c>
      <c r="O1854" s="1856">
        <v>0</v>
      </c>
    </row>
    <row r="1855" spans="3:15" ht="13.5">
      <c r="C1855" s="1861" t="s">
        <v>5645</v>
      </c>
      <c r="D1855" s="1858">
        <v>0</v>
      </c>
      <c r="E1855" s="1858">
        <v>0</v>
      </c>
      <c r="F1855" s="1859">
        <v>0</v>
      </c>
      <c r="G1855" s="1872" t="s">
        <v>5645</v>
      </c>
      <c r="H1855" s="1856">
        <v>0</v>
      </c>
      <c r="I1855" s="1856">
        <v>0</v>
      </c>
      <c r="J1855" s="1873">
        <v>0</v>
      </c>
      <c r="K1855" s="1860"/>
      <c r="L1855" s="1854">
        <v>13213010201</v>
      </c>
      <c r="M1855" s="1855">
        <v>0</v>
      </c>
      <c r="N1855" s="1855">
        <v>0</v>
      </c>
      <c r="O1855" s="1856">
        <v>0</v>
      </c>
    </row>
    <row r="1856" spans="3:15" ht="13.5">
      <c r="C1856" s="1861" t="s">
        <v>5646</v>
      </c>
      <c r="D1856" s="1858">
        <v>0</v>
      </c>
      <c r="E1856" s="1858">
        <v>0</v>
      </c>
      <c r="F1856" s="1859">
        <v>0</v>
      </c>
      <c r="G1856" s="1872" t="s">
        <v>5646</v>
      </c>
      <c r="H1856" s="1856">
        <v>0</v>
      </c>
      <c r="I1856" s="1856">
        <v>0</v>
      </c>
      <c r="J1856" s="1873">
        <v>0</v>
      </c>
      <c r="K1856" s="1860"/>
      <c r="L1856" s="1854">
        <v>13213010202</v>
      </c>
      <c r="M1856" s="1855">
        <v>0</v>
      </c>
      <c r="N1856" s="1855">
        <v>0</v>
      </c>
      <c r="O1856" s="1856">
        <v>0</v>
      </c>
    </row>
    <row r="1857" spans="3:15" ht="13.5">
      <c r="C1857" s="1861" t="s">
        <v>5647</v>
      </c>
      <c r="D1857" s="1858">
        <v>0</v>
      </c>
      <c r="E1857" s="1858">
        <v>0</v>
      </c>
      <c r="F1857" s="1859">
        <v>0</v>
      </c>
      <c r="G1857" s="1872" t="s">
        <v>5647</v>
      </c>
      <c r="H1857" s="1856">
        <v>0</v>
      </c>
      <c r="I1857" s="1856">
        <v>0</v>
      </c>
      <c r="J1857" s="1873">
        <v>0</v>
      </c>
      <c r="K1857" s="1860"/>
      <c r="L1857" s="1854">
        <v>13213010300</v>
      </c>
      <c r="M1857" s="1855">
        <v>0</v>
      </c>
      <c r="N1857" s="1855">
        <v>0</v>
      </c>
      <c r="O1857" s="1856">
        <v>0</v>
      </c>
    </row>
    <row r="1858" spans="3:15" ht="13.5">
      <c r="C1858" s="1861" t="s">
        <v>5648</v>
      </c>
      <c r="D1858" s="1858">
        <v>0</v>
      </c>
      <c r="E1858" s="1858">
        <v>0</v>
      </c>
      <c r="F1858" s="1859">
        <v>0</v>
      </c>
      <c r="G1858" s="1872" t="s">
        <v>5648</v>
      </c>
      <c r="H1858" s="1856">
        <v>0</v>
      </c>
      <c r="I1858" s="1856">
        <v>0</v>
      </c>
      <c r="J1858" s="1873">
        <v>0</v>
      </c>
      <c r="K1858" s="1860"/>
      <c r="L1858" s="1854">
        <v>13213010400</v>
      </c>
      <c r="M1858" s="1855">
        <v>0</v>
      </c>
      <c r="N1858" s="1855">
        <v>0</v>
      </c>
      <c r="O1858" s="1856">
        <v>0</v>
      </c>
    </row>
    <row r="1859" spans="3:15" ht="13.5">
      <c r="C1859" s="1861" t="s">
        <v>5649</v>
      </c>
      <c r="D1859" s="1858">
        <v>0</v>
      </c>
      <c r="E1859" s="1858">
        <v>0</v>
      </c>
      <c r="F1859" s="1859">
        <v>0</v>
      </c>
      <c r="G1859" s="1872" t="s">
        <v>5649</v>
      </c>
      <c r="H1859" s="1856">
        <v>0</v>
      </c>
      <c r="I1859" s="1856">
        <v>0</v>
      </c>
      <c r="J1859" s="1873">
        <v>0</v>
      </c>
      <c r="K1859" s="1860"/>
      <c r="L1859" s="1854">
        <v>13213010500</v>
      </c>
      <c r="M1859" s="1855">
        <v>0</v>
      </c>
      <c r="N1859" s="1855">
        <v>0</v>
      </c>
      <c r="O1859" s="1856">
        <v>0</v>
      </c>
    </row>
    <row r="1860" spans="3:15" ht="13.5">
      <c r="C1860" s="1861" t="s">
        <v>5650</v>
      </c>
      <c r="D1860" s="1858">
        <v>0</v>
      </c>
      <c r="E1860" s="1858">
        <v>0</v>
      </c>
      <c r="F1860" s="1859">
        <v>0</v>
      </c>
      <c r="G1860" s="1872" t="s">
        <v>5650</v>
      </c>
      <c r="H1860" s="1856">
        <v>0</v>
      </c>
      <c r="I1860" s="1856">
        <v>0</v>
      </c>
      <c r="J1860" s="1873">
        <v>0</v>
      </c>
      <c r="K1860" s="1860"/>
      <c r="L1860" s="1854">
        <v>13213010600</v>
      </c>
      <c r="M1860" s="1855">
        <v>0</v>
      </c>
      <c r="N1860" s="1855">
        <v>0</v>
      </c>
      <c r="O1860" s="1856">
        <v>0</v>
      </c>
    </row>
    <row r="1861" spans="3:15" ht="13.5">
      <c r="C1861" s="1861" t="s">
        <v>5651</v>
      </c>
      <c r="D1861" s="1858">
        <v>0</v>
      </c>
      <c r="E1861" s="1858">
        <v>0</v>
      </c>
      <c r="F1861" s="1859">
        <v>0</v>
      </c>
      <c r="G1861" s="1872" t="s">
        <v>5651</v>
      </c>
      <c r="H1861" s="1856">
        <v>0</v>
      </c>
      <c r="I1861" s="1856">
        <v>0</v>
      </c>
      <c r="J1861" s="1873">
        <v>0</v>
      </c>
      <c r="K1861" s="1860"/>
      <c r="L1861" s="1854">
        <v>13213010700</v>
      </c>
      <c r="M1861" s="1855">
        <v>0</v>
      </c>
      <c r="N1861" s="1855">
        <v>0</v>
      </c>
      <c r="O1861" s="1856">
        <v>0</v>
      </c>
    </row>
    <row r="1862" spans="3:15" ht="13.5">
      <c r="C1862" s="1861" t="s">
        <v>5652</v>
      </c>
      <c r="D1862" s="1858">
        <v>0</v>
      </c>
      <c r="E1862" s="1858">
        <v>1</v>
      </c>
      <c r="F1862" s="1859">
        <v>1</v>
      </c>
      <c r="G1862" s="1872" t="s">
        <v>5652</v>
      </c>
      <c r="H1862" s="1856">
        <v>0</v>
      </c>
      <c r="I1862" s="1856">
        <v>1</v>
      </c>
      <c r="J1862" s="1873">
        <v>1</v>
      </c>
      <c r="K1862" s="1860"/>
      <c r="L1862" s="1854">
        <v>13215000200</v>
      </c>
      <c r="M1862" s="1855">
        <v>0</v>
      </c>
      <c r="N1862" s="1855">
        <v>1</v>
      </c>
      <c r="O1862" s="1856">
        <v>1</v>
      </c>
    </row>
    <row r="1863" spans="3:15" ht="13.5">
      <c r="C1863" s="1861" t="s">
        <v>5653</v>
      </c>
      <c r="D1863" s="1858">
        <v>0</v>
      </c>
      <c r="E1863" s="1858">
        <v>0</v>
      </c>
      <c r="F1863" s="1859">
        <v>0</v>
      </c>
      <c r="G1863" s="1872" t="s">
        <v>5653</v>
      </c>
      <c r="H1863" s="1856">
        <v>0</v>
      </c>
      <c r="I1863" s="1856">
        <v>0</v>
      </c>
      <c r="J1863" s="1873">
        <v>0</v>
      </c>
      <c r="K1863" s="1860"/>
      <c r="L1863" s="1854">
        <v>13215000300</v>
      </c>
      <c r="M1863" s="1855">
        <v>0</v>
      </c>
      <c r="N1863" s="1855">
        <v>0</v>
      </c>
      <c r="O1863" s="1856">
        <v>0</v>
      </c>
    </row>
    <row r="1864" spans="3:15" ht="13.5">
      <c r="C1864" s="1861" t="s">
        <v>5654</v>
      </c>
      <c r="D1864" s="1858">
        <v>0</v>
      </c>
      <c r="E1864" s="1858">
        <v>0</v>
      </c>
      <c r="F1864" s="1859">
        <v>0</v>
      </c>
      <c r="G1864" s="1872" t="s">
        <v>5654</v>
      </c>
      <c r="H1864" s="1856">
        <v>0</v>
      </c>
      <c r="I1864" s="1856">
        <v>0</v>
      </c>
      <c r="J1864" s="1873">
        <v>0</v>
      </c>
      <c r="K1864" s="1860"/>
      <c r="L1864" s="1854">
        <v>13215000400</v>
      </c>
      <c r="M1864" s="1855">
        <v>0</v>
      </c>
      <c r="N1864" s="1855">
        <v>0</v>
      </c>
      <c r="O1864" s="1856">
        <v>0</v>
      </c>
    </row>
    <row r="1865" spans="3:15" ht="13.5">
      <c r="C1865" s="1861" t="s">
        <v>5655</v>
      </c>
      <c r="D1865" s="1858">
        <v>0</v>
      </c>
      <c r="E1865" s="1858">
        <v>0</v>
      </c>
      <c r="F1865" s="1859">
        <v>0</v>
      </c>
      <c r="G1865" s="1872" t="s">
        <v>5655</v>
      </c>
      <c r="H1865" s="1856">
        <v>0</v>
      </c>
      <c r="I1865" s="1856">
        <v>0</v>
      </c>
      <c r="J1865" s="1873">
        <v>0</v>
      </c>
      <c r="K1865" s="1860"/>
      <c r="L1865" s="1854">
        <v>13215000800</v>
      </c>
      <c r="M1865" s="1855">
        <v>0</v>
      </c>
      <c r="N1865" s="1855">
        <v>0</v>
      </c>
      <c r="O1865" s="1856">
        <v>0</v>
      </c>
    </row>
    <row r="1866" spans="3:15" ht="13.5">
      <c r="C1866" s="1861" t="s">
        <v>5656</v>
      </c>
      <c r="D1866" s="1858">
        <v>0</v>
      </c>
      <c r="E1866" s="1858">
        <v>0</v>
      </c>
      <c r="F1866" s="1859">
        <v>0</v>
      </c>
      <c r="G1866" s="1872" t="s">
        <v>5656</v>
      </c>
      <c r="H1866" s="1856">
        <v>0</v>
      </c>
      <c r="I1866" s="1856">
        <v>0</v>
      </c>
      <c r="J1866" s="1873">
        <v>0</v>
      </c>
      <c r="K1866" s="1860"/>
      <c r="L1866" s="1854">
        <v>13215000900</v>
      </c>
      <c r="M1866" s="1855">
        <v>0</v>
      </c>
      <c r="N1866" s="1855">
        <v>0</v>
      </c>
      <c r="O1866" s="1856">
        <v>0</v>
      </c>
    </row>
    <row r="1867" spans="3:15" ht="13.5">
      <c r="C1867" s="1861" t="s">
        <v>5657</v>
      </c>
      <c r="D1867" s="1858">
        <v>0</v>
      </c>
      <c r="E1867" s="1858">
        <v>0</v>
      </c>
      <c r="F1867" s="1859">
        <v>0</v>
      </c>
      <c r="G1867" s="1872" t="s">
        <v>5657</v>
      </c>
      <c r="H1867" s="1856">
        <v>0</v>
      </c>
      <c r="I1867" s="1856">
        <v>0</v>
      </c>
      <c r="J1867" s="1873">
        <v>0</v>
      </c>
      <c r="K1867" s="1860"/>
      <c r="L1867" s="1854">
        <v>13215001000</v>
      </c>
      <c r="M1867" s="1855">
        <v>0</v>
      </c>
      <c r="N1867" s="1855">
        <v>0</v>
      </c>
      <c r="O1867" s="1856">
        <v>0</v>
      </c>
    </row>
    <row r="1868" spans="3:15" ht="13.5">
      <c r="C1868" s="1861" t="s">
        <v>5658</v>
      </c>
      <c r="D1868" s="1858">
        <v>1</v>
      </c>
      <c r="E1868" s="1858">
        <v>1</v>
      </c>
      <c r="F1868" s="1859">
        <v>2</v>
      </c>
      <c r="G1868" s="1872" t="s">
        <v>5658</v>
      </c>
      <c r="H1868" s="1856">
        <v>1</v>
      </c>
      <c r="I1868" s="1856">
        <v>1</v>
      </c>
      <c r="J1868" s="1873">
        <v>2</v>
      </c>
      <c r="K1868" s="1860"/>
      <c r="L1868" s="1854">
        <v>13215001100</v>
      </c>
      <c r="M1868" s="1855">
        <v>1</v>
      </c>
      <c r="N1868" s="1855">
        <v>1</v>
      </c>
      <c r="O1868" s="1856">
        <v>2</v>
      </c>
    </row>
    <row r="1869" spans="3:15" ht="13.5">
      <c r="C1869" s="1861" t="s">
        <v>5659</v>
      </c>
      <c r="D1869" s="1858">
        <v>1</v>
      </c>
      <c r="E1869" s="1858">
        <v>1</v>
      </c>
      <c r="F1869" s="1859">
        <v>2</v>
      </c>
      <c r="G1869" s="1872" t="s">
        <v>5659</v>
      </c>
      <c r="H1869" s="1856">
        <v>1</v>
      </c>
      <c r="I1869" s="1856">
        <v>1</v>
      </c>
      <c r="J1869" s="1873">
        <v>2</v>
      </c>
      <c r="K1869" s="1860"/>
      <c r="L1869" s="1854">
        <v>13215001200</v>
      </c>
      <c r="M1869" s="1855">
        <v>1</v>
      </c>
      <c r="N1869" s="1855">
        <v>1</v>
      </c>
      <c r="O1869" s="1856">
        <v>2</v>
      </c>
    </row>
    <row r="1870" spans="3:15" ht="13.5">
      <c r="C1870" s="1861" t="s">
        <v>5660</v>
      </c>
      <c r="D1870" s="1858">
        <v>0</v>
      </c>
      <c r="E1870" s="1858">
        <v>0</v>
      </c>
      <c r="F1870" s="1859">
        <v>0</v>
      </c>
      <c r="G1870" s="1872" t="s">
        <v>5660</v>
      </c>
      <c r="H1870" s="1856">
        <v>0</v>
      </c>
      <c r="I1870" s="1856">
        <v>0</v>
      </c>
      <c r="J1870" s="1873">
        <v>0</v>
      </c>
      <c r="K1870" s="1860"/>
      <c r="L1870" s="1854">
        <v>13215001400</v>
      </c>
      <c r="M1870" s="1855">
        <v>0</v>
      </c>
      <c r="N1870" s="1855">
        <v>0</v>
      </c>
      <c r="O1870" s="1856">
        <v>0</v>
      </c>
    </row>
    <row r="1871" spans="3:15" ht="13.5">
      <c r="C1871" s="1861" t="s">
        <v>5661</v>
      </c>
      <c r="D1871" s="1858">
        <v>0</v>
      </c>
      <c r="E1871" s="1858">
        <v>0</v>
      </c>
      <c r="F1871" s="1859">
        <v>0</v>
      </c>
      <c r="G1871" s="1872" t="s">
        <v>5661</v>
      </c>
      <c r="H1871" s="1856">
        <v>0</v>
      </c>
      <c r="I1871" s="1856" t="s">
        <v>3909</v>
      </c>
      <c r="J1871" s="1873">
        <v>0</v>
      </c>
      <c r="K1871" s="1860"/>
      <c r="L1871" s="1854">
        <v>13215001600</v>
      </c>
      <c r="M1871" s="1855">
        <v>0</v>
      </c>
      <c r="N1871" s="1855">
        <v>0</v>
      </c>
      <c r="O1871" s="1856">
        <v>0</v>
      </c>
    </row>
    <row r="1872" spans="3:15" ht="13.5">
      <c r="C1872" s="1861" t="s">
        <v>5662</v>
      </c>
      <c r="D1872" s="1858">
        <v>0</v>
      </c>
      <c r="E1872" s="1858">
        <v>0</v>
      </c>
      <c r="F1872" s="1859">
        <v>0</v>
      </c>
      <c r="G1872" s="1872" t="s">
        <v>5662</v>
      </c>
      <c r="H1872" s="1856">
        <v>0</v>
      </c>
      <c r="I1872" s="1856">
        <v>0</v>
      </c>
      <c r="J1872" s="1873">
        <v>0</v>
      </c>
      <c r="K1872" s="1860"/>
      <c r="L1872" s="1854">
        <v>13215001800</v>
      </c>
      <c r="M1872" s="1855">
        <v>0</v>
      </c>
      <c r="N1872" s="1855">
        <v>0</v>
      </c>
      <c r="O1872" s="1856">
        <v>0</v>
      </c>
    </row>
    <row r="1873" spans="3:15" ht="13.5">
      <c r="C1873" s="1861" t="s">
        <v>5663</v>
      </c>
      <c r="D1873" s="1858">
        <v>0</v>
      </c>
      <c r="E1873" s="1858">
        <v>0</v>
      </c>
      <c r="F1873" s="1859">
        <v>0</v>
      </c>
      <c r="G1873" s="1872" t="s">
        <v>5663</v>
      </c>
      <c r="H1873" s="1856">
        <v>0</v>
      </c>
      <c r="I1873" s="1856">
        <v>0</v>
      </c>
      <c r="J1873" s="1873">
        <v>0</v>
      </c>
      <c r="K1873" s="1860"/>
      <c r="L1873" s="1854">
        <v>13215002000</v>
      </c>
      <c r="M1873" s="1855">
        <v>0</v>
      </c>
      <c r="N1873" s="1855">
        <v>0</v>
      </c>
      <c r="O1873" s="1856">
        <v>0</v>
      </c>
    </row>
    <row r="1874" spans="3:15" ht="13.5">
      <c r="C1874" s="1861" t="s">
        <v>5664</v>
      </c>
      <c r="D1874" s="1858">
        <v>0</v>
      </c>
      <c r="E1874" s="1858">
        <v>0</v>
      </c>
      <c r="F1874" s="1859">
        <v>0</v>
      </c>
      <c r="G1874" s="1872" t="s">
        <v>5664</v>
      </c>
      <c r="H1874" s="1856">
        <v>0</v>
      </c>
      <c r="I1874" s="1856">
        <v>0</v>
      </c>
      <c r="J1874" s="1873">
        <v>0</v>
      </c>
      <c r="K1874" s="1860"/>
      <c r="L1874" s="1854">
        <v>13215002100</v>
      </c>
      <c r="M1874" s="1855">
        <v>0</v>
      </c>
      <c r="N1874" s="1855">
        <v>0</v>
      </c>
      <c r="O1874" s="1856">
        <v>0</v>
      </c>
    </row>
    <row r="1875" spans="3:15" ht="13.5">
      <c r="C1875" s="1861" t="s">
        <v>5665</v>
      </c>
      <c r="D1875" s="1858">
        <v>0</v>
      </c>
      <c r="E1875" s="1858">
        <v>0</v>
      </c>
      <c r="F1875" s="1859">
        <v>0</v>
      </c>
      <c r="G1875" s="1872" t="s">
        <v>5665</v>
      </c>
      <c r="H1875" s="1856">
        <v>0</v>
      </c>
      <c r="I1875" s="1856">
        <v>0</v>
      </c>
      <c r="J1875" s="1873">
        <v>0</v>
      </c>
      <c r="K1875" s="1860"/>
      <c r="L1875" s="1854">
        <v>13215002200</v>
      </c>
      <c r="M1875" s="1855">
        <v>0</v>
      </c>
      <c r="N1875" s="1855">
        <v>0</v>
      </c>
      <c r="O1875" s="1856">
        <v>0</v>
      </c>
    </row>
    <row r="1876" spans="3:15" ht="13.5">
      <c r="C1876" s="1861" t="s">
        <v>5666</v>
      </c>
      <c r="D1876" s="1858">
        <v>0</v>
      </c>
      <c r="E1876" s="1858">
        <v>0</v>
      </c>
      <c r="F1876" s="1859">
        <v>0</v>
      </c>
      <c r="G1876" s="1872" t="s">
        <v>5666</v>
      </c>
      <c r="H1876" s="1856">
        <v>0</v>
      </c>
      <c r="I1876" s="1856">
        <v>0</v>
      </c>
      <c r="J1876" s="1873">
        <v>0</v>
      </c>
      <c r="K1876" s="1860"/>
      <c r="L1876" s="1854">
        <v>13215002300</v>
      </c>
      <c r="M1876" s="1855">
        <v>0</v>
      </c>
      <c r="N1876" s="1855">
        <v>0</v>
      </c>
      <c r="O1876" s="1856">
        <v>0</v>
      </c>
    </row>
    <row r="1877" spans="3:15" ht="13.5">
      <c r="C1877" s="1861" t="s">
        <v>5667</v>
      </c>
      <c r="D1877" s="1858">
        <v>0</v>
      </c>
      <c r="E1877" s="1858">
        <v>0</v>
      </c>
      <c r="F1877" s="1859">
        <v>0</v>
      </c>
      <c r="G1877" s="1872" t="s">
        <v>5667</v>
      </c>
      <c r="H1877" s="1856">
        <v>0</v>
      </c>
      <c r="I1877" s="1856">
        <v>0</v>
      </c>
      <c r="J1877" s="1873">
        <v>0</v>
      </c>
      <c r="K1877" s="1860"/>
      <c r="L1877" s="1854">
        <v>13215002400</v>
      </c>
      <c r="M1877" s="1855">
        <v>0</v>
      </c>
      <c r="N1877" s="1855">
        <v>0</v>
      </c>
      <c r="O1877" s="1856">
        <v>0</v>
      </c>
    </row>
    <row r="1878" spans="3:15" ht="13.5">
      <c r="C1878" s="1861" t="s">
        <v>5668</v>
      </c>
      <c r="D1878" s="1858">
        <v>0</v>
      </c>
      <c r="E1878" s="1858">
        <v>0</v>
      </c>
      <c r="F1878" s="1859">
        <v>0</v>
      </c>
      <c r="G1878" s="1872" t="s">
        <v>5668</v>
      </c>
      <c r="H1878" s="1856">
        <v>0</v>
      </c>
      <c r="I1878" s="1856">
        <v>0</v>
      </c>
      <c r="J1878" s="1873">
        <v>0</v>
      </c>
      <c r="K1878" s="1860"/>
      <c r="L1878" s="1854">
        <v>13215002500</v>
      </c>
      <c r="M1878" s="1855">
        <v>0</v>
      </c>
      <c r="N1878" s="1855">
        <v>0</v>
      </c>
      <c r="O1878" s="1856">
        <v>0</v>
      </c>
    </row>
    <row r="1879" spans="3:15" ht="13.5">
      <c r="C1879" s="1861" t="s">
        <v>5669</v>
      </c>
      <c r="D1879" s="1858">
        <v>0</v>
      </c>
      <c r="E1879" s="1858">
        <v>0</v>
      </c>
      <c r="F1879" s="1859">
        <v>0</v>
      </c>
      <c r="G1879" s="1872" t="s">
        <v>5669</v>
      </c>
      <c r="H1879" s="1856">
        <v>0</v>
      </c>
      <c r="I1879" s="1856">
        <v>0</v>
      </c>
      <c r="J1879" s="1873">
        <v>0</v>
      </c>
      <c r="K1879" s="1860"/>
      <c r="L1879" s="1854">
        <v>13215002700</v>
      </c>
      <c r="M1879" s="1855">
        <v>0</v>
      </c>
      <c r="N1879" s="1855">
        <v>0</v>
      </c>
      <c r="O1879" s="1856">
        <v>0</v>
      </c>
    </row>
    <row r="1880" spans="3:15" ht="13.5">
      <c r="C1880" s="1861" t="s">
        <v>5670</v>
      </c>
      <c r="D1880" s="1858">
        <v>0</v>
      </c>
      <c r="E1880" s="1858">
        <v>0</v>
      </c>
      <c r="F1880" s="1859">
        <v>0</v>
      </c>
      <c r="G1880" s="1872" t="s">
        <v>5670</v>
      </c>
      <c r="H1880" s="1856">
        <v>0</v>
      </c>
      <c r="I1880" s="1856">
        <v>0</v>
      </c>
      <c r="J1880" s="1873">
        <v>0</v>
      </c>
      <c r="K1880" s="1860"/>
      <c r="L1880" s="1854">
        <v>13215002800</v>
      </c>
      <c r="M1880" s="1855">
        <v>0</v>
      </c>
      <c r="N1880" s="1855">
        <v>0</v>
      </c>
      <c r="O1880" s="1856">
        <v>0</v>
      </c>
    </row>
    <row r="1881" spans="3:15" ht="13.5">
      <c r="C1881" s="1861" t="s">
        <v>5671</v>
      </c>
      <c r="D1881" s="1858">
        <v>0</v>
      </c>
      <c r="E1881" s="1858">
        <v>0</v>
      </c>
      <c r="F1881" s="1859">
        <v>0</v>
      </c>
      <c r="G1881" s="1872" t="s">
        <v>5671</v>
      </c>
      <c r="H1881" s="1856">
        <v>0</v>
      </c>
      <c r="I1881" s="1856">
        <v>0</v>
      </c>
      <c r="J1881" s="1873">
        <v>0</v>
      </c>
      <c r="K1881" s="1860"/>
      <c r="L1881" s="1854">
        <v>13215002901</v>
      </c>
      <c r="M1881" s="1855">
        <v>0</v>
      </c>
      <c r="N1881" s="1855">
        <v>0</v>
      </c>
      <c r="O1881" s="1856">
        <v>0</v>
      </c>
    </row>
    <row r="1882" spans="3:15" ht="13.5">
      <c r="C1882" s="1861" t="s">
        <v>5672</v>
      </c>
      <c r="D1882" s="1858">
        <v>0</v>
      </c>
      <c r="E1882" s="1858">
        <v>0</v>
      </c>
      <c r="F1882" s="1859">
        <v>0</v>
      </c>
      <c r="G1882" s="1872" t="s">
        <v>5672</v>
      </c>
      <c r="H1882" s="1856">
        <v>0</v>
      </c>
      <c r="I1882" s="1856">
        <v>0</v>
      </c>
      <c r="J1882" s="1873">
        <v>0</v>
      </c>
      <c r="K1882" s="1860"/>
      <c r="L1882" s="1854">
        <v>13215002902</v>
      </c>
      <c r="M1882" s="1855">
        <v>0</v>
      </c>
      <c r="N1882" s="1855">
        <v>0</v>
      </c>
      <c r="O1882" s="1856">
        <v>0</v>
      </c>
    </row>
    <row r="1883" spans="3:15" ht="13.5">
      <c r="C1883" s="1861" t="s">
        <v>5673</v>
      </c>
      <c r="D1883" s="1858">
        <v>0</v>
      </c>
      <c r="E1883" s="1858">
        <v>0</v>
      </c>
      <c r="F1883" s="1859">
        <v>0</v>
      </c>
      <c r="G1883" s="1872" t="s">
        <v>5673</v>
      </c>
      <c r="H1883" s="1856">
        <v>0</v>
      </c>
      <c r="I1883" s="1856" t="s">
        <v>3909</v>
      </c>
      <c r="J1883" s="1873">
        <v>0</v>
      </c>
      <c r="K1883" s="1860"/>
      <c r="L1883" s="1854">
        <v>13215003000</v>
      </c>
      <c r="M1883" s="1855">
        <v>0</v>
      </c>
      <c r="N1883" s="1855">
        <v>0</v>
      </c>
      <c r="O1883" s="1856">
        <v>0</v>
      </c>
    </row>
    <row r="1884" spans="3:15" ht="13.5">
      <c r="C1884" s="1861" t="s">
        <v>5674</v>
      </c>
      <c r="D1884" s="1858">
        <v>0</v>
      </c>
      <c r="E1884" s="1858">
        <v>0</v>
      </c>
      <c r="F1884" s="1859">
        <v>0</v>
      </c>
      <c r="G1884" s="1872" t="s">
        <v>5674</v>
      </c>
      <c r="H1884" s="1856">
        <v>0</v>
      </c>
      <c r="I1884" s="1856">
        <v>0</v>
      </c>
      <c r="J1884" s="1873">
        <v>0</v>
      </c>
      <c r="K1884" s="1860"/>
      <c r="L1884" s="1854">
        <v>13215003200</v>
      </c>
      <c r="M1884" s="1855">
        <v>0</v>
      </c>
      <c r="N1884" s="1855">
        <v>0</v>
      </c>
      <c r="O1884" s="1856">
        <v>0</v>
      </c>
    </row>
    <row r="1885" spans="3:15" ht="13.5">
      <c r="C1885" s="1861" t="s">
        <v>5675</v>
      </c>
      <c r="D1885" s="1858">
        <v>0</v>
      </c>
      <c r="E1885" s="1858">
        <v>0</v>
      </c>
      <c r="F1885" s="1859">
        <v>0</v>
      </c>
      <c r="G1885" s="1872" t="s">
        <v>5675</v>
      </c>
      <c r="H1885" s="1856">
        <v>0</v>
      </c>
      <c r="I1885" s="1856">
        <v>0</v>
      </c>
      <c r="J1885" s="1873">
        <v>0</v>
      </c>
      <c r="K1885" s="1860"/>
      <c r="L1885" s="1854">
        <v>13215003301</v>
      </c>
      <c r="M1885" s="1855">
        <v>0</v>
      </c>
      <c r="N1885" s="1855">
        <v>0</v>
      </c>
      <c r="O1885" s="1856">
        <v>0</v>
      </c>
    </row>
    <row r="1886" spans="3:15" ht="13.5">
      <c r="C1886" s="1861" t="s">
        <v>5676</v>
      </c>
      <c r="D1886" s="1858">
        <v>0</v>
      </c>
      <c r="E1886" s="1858">
        <v>0</v>
      </c>
      <c r="F1886" s="1859">
        <v>0</v>
      </c>
      <c r="G1886" s="1872" t="s">
        <v>5676</v>
      </c>
      <c r="H1886" s="1856">
        <v>0</v>
      </c>
      <c r="I1886" s="1856">
        <v>0</v>
      </c>
      <c r="J1886" s="1873">
        <v>0</v>
      </c>
      <c r="K1886" s="1860"/>
      <c r="L1886" s="1854">
        <v>13215003302</v>
      </c>
      <c r="M1886" s="1855">
        <v>0</v>
      </c>
      <c r="N1886" s="1855">
        <v>0</v>
      </c>
      <c r="O1886" s="1856">
        <v>0</v>
      </c>
    </row>
    <row r="1887" spans="3:15" ht="13.5">
      <c r="C1887" s="1861" t="s">
        <v>5677</v>
      </c>
      <c r="D1887" s="1858">
        <v>0</v>
      </c>
      <c r="E1887" s="1858">
        <v>0</v>
      </c>
      <c r="F1887" s="1859">
        <v>0</v>
      </c>
      <c r="G1887" s="1872" t="s">
        <v>5677</v>
      </c>
      <c r="H1887" s="1856">
        <v>0</v>
      </c>
      <c r="I1887" s="1856">
        <v>0</v>
      </c>
      <c r="J1887" s="1873">
        <v>0</v>
      </c>
      <c r="K1887" s="1860"/>
      <c r="L1887" s="1854">
        <v>13215003400</v>
      </c>
      <c r="M1887" s="1855">
        <v>0</v>
      </c>
      <c r="N1887" s="1855">
        <v>0</v>
      </c>
      <c r="O1887" s="1856">
        <v>0</v>
      </c>
    </row>
    <row r="1888" spans="3:15" ht="13.5">
      <c r="C1888" s="1861" t="s">
        <v>5678</v>
      </c>
      <c r="D1888" s="1858">
        <v>1</v>
      </c>
      <c r="E1888" s="1858">
        <v>1</v>
      </c>
      <c r="F1888" s="1859">
        <v>2</v>
      </c>
      <c r="G1888" s="1872" t="s">
        <v>5678</v>
      </c>
      <c r="H1888" s="1856">
        <v>1</v>
      </c>
      <c r="I1888" s="1856">
        <v>1</v>
      </c>
      <c r="J1888" s="1873">
        <v>2</v>
      </c>
      <c r="K1888" s="1860"/>
      <c r="L1888" s="1854">
        <v>13215010104</v>
      </c>
      <c r="M1888" s="1855">
        <v>1</v>
      </c>
      <c r="N1888" s="1855">
        <v>1</v>
      </c>
      <c r="O1888" s="1856">
        <v>2</v>
      </c>
    </row>
    <row r="1889" spans="3:15" ht="13.5">
      <c r="C1889" s="1861" t="s">
        <v>5679</v>
      </c>
      <c r="D1889" s="1858">
        <v>0</v>
      </c>
      <c r="E1889" s="1858">
        <v>1</v>
      </c>
      <c r="F1889" s="1859">
        <v>1</v>
      </c>
      <c r="G1889" s="1872" t="s">
        <v>5679</v>
      </c>
      <c r="H1889" s="1856">
        <v>0</v>
      </c>
      <c r="I1889" s="1856">
        <v>1</v>
      </c>
      <c r="J1889" s="1873">
        <v>1</v>
      </c>
      <c r="K1889" s="1860"/>
      <c r="L1889" s="1854">
        <v>13215010106</v>
      </c>
      <c r="M1889" s="1855">
        <v>0</v>
      </c>
      <c r="N1889" s="1855">
        <v>1</v>
      </c>
      <c r="O1889" s="1856">
        <v>1</v>
      </c>
    </row>
    <row r="1890" spans="3:15" ht="13.5">
      <c r="C1890" s="1861" t="s">
        <v>5680</v>
      </c>
      <c r="D1890" s="1858">
        <v>1</v>
      </c>
      <c r="E1890" s="1858">
        <v>1</v>
      </c>
      <c r="F1890" s="1859">
        <v>2</v>
      </c>
      <c r="G1890" s="1872" t="s">
        <v>5680</v>
      </c>
      <c r="H1890" s="1856">
        <v>1</v>
      </c>
      <c r="I1890" s="1856">
        <v>1</v>
      </c>
      <c r="J1890" s="1873">
        <v>2</v>
      </c>
      <c r="K1890" s="1860"/>
      <c r="L1890" s="1854">
        <v>13215010107</v>
      </c>
      <c r="M1890" s="1855">
        <v>1</v>
      </c>
      <c r="N1890" s="1855">
        <v>1</v>
      </c>
      <c r="O1890" s="1856">
        <v>2</v>
      </c>
    </row>
    <row r="1891" spans="3:15" ht="13.5">
      <c r="C1891" s="1861" t="s">
        <v>5681</v>
      </c>
      <c r="D1891" s="1858">
        <v>1</v>
      </c>
      <c r="E1891" s="1858">
        <v>1</v>
      </c>
      <c r="F1891" s="1859">
        <v>2</v>
      </c>
      <c r="G1891" s="1872" t="s">
        <v>5681</v>
      </c>
      <c r="H1891" s="1856">
        <v>1</v>
      </c>
      <c r="I1891" s="1856">
        <v>1</v>
      </c>
      <c r="J1891" s="1873">
        <v>2</v>
      </c>
      <c r="K1891" s="1860"/>
      <c r="L1891" s="1854">
        <v>13215010201</v>
      </c>
      <c r="M1891" s="1855">
        <v>1</v>
      </c>
      <c r="N1891" s="1855">
        <v>1</v>
      </c>
      <c r="O1891" s="1856">
        <v>2</v>
      </c>
    </row>
    <row r="1892" spans="3:15" ht="13.5">
      <c r="C1892" s="1861" t="s">
        <v>5682</v>
      </c>
      <c r="D1892" s="1858">
        <v>1</v>
      </c>
      <c r="E1892" s="1858">
        <v>1</v>
      </c>
      <c r="F1892" s="1859">
        <v>2</v>
      </c>
      <c r="G1892" s="1872" t="s">
        <v>5682</v>
      </c>
      <c r="H1892" s="1856">
        <v>1</v>
      </c>
      <c r="I1892" s="1856">
        <v>1</v>
      </c>
      <c r="J1892" s="1873">
        <v>2</v>
      </c>
      <c r="K1892" s="1860"/>
      <c r="L1892" s="1854">
        <v>13215010203</v>
      </c>
      <c r="M1892" s="1855">
        <v>1</v>
      </c>
      <c r="N1892" s="1855">
        <v>1</v>
      </c>
      <c r="O1892" s="1856">
        <v>2</v>
      </c>
    </row>
    <row r="1893" spans="3:15" ht="13.5">
      <c r="C1893" s="1861" t="s">
        <v>5683</v>
      </c>
      <c r="D1893" s="1858">
        <v>1</v>
      </c>
      <c r="E1893" s="1858">
        <v>1</v>
      </c>
      <c r="F1893" s="1859">
        <v>2</v>
      </c>
      <c r="G1893" s="1872" t="s">
        <v>5683</v>
      </c>
      <c r="H1893" s="1856">
        <v>1</v>
      </c>
      <c r="I1893" s="1856">
        <v>1</v>
      </c>
      <c r="J1893" s="1873">
        <v>2</v>
      </c>
      <c r="K1893" s="1860"/>
      <c r="L1893" s="1854">
        <v>13215010204</v>
      </c>
      <c r="M1893" s="1855">
        <v>1</v>
      </c>
      <c r="N1893" s="1855">
        <v>1</v>
      </c>
      <c r="O1893" s="1856">
        <v>2</v>
      </c>
    </row>
    <row r="1894" spans="3:15" ht="13.5">
      <c r="C1894" s="1861" t="s">
        <v>5684</v>
      </c>
      <c r="D1894" s="1858">
        <v>1</v>
      </c>
      <c r="E1894" s="1858">
        <v>1</v>
      </c>
      <c r="F1894" s="1859">
        <v>2</v>
      </c>
      <c r="G1894" s="1872" t="s">
        <v>5684</v>
      </c>
      <c r="H1894" s="1856">
        <v>1</v>
      </c>
      <c r="I1894" s="1856">
        <v>1</v>
      </c>
      <c r="J1894" s="1873">
        <v>2</v>
      </c>
      <c r="K1894" s="1860"/>
      <c r="L1894" s="1854">
        <v>13215010205</v>
      </c>
      <c r="M1894" s="1855">
        <v>1</v>
      </c>
      <c r="N1894" s="1855">
        <v>1</v>
      </c>
      <c r="O1894" s="1856">
        <v>2</v>
      </c>
    </row>
    <row r="1895" spans="3:15" ht="13.5">
      <c r="C1895" s="1861" t="s">
        <v>5685</v>
      </c>
      <c r="D1895" s="1858">
        <v>1</v>
      </c>
      <c r="E1895" s="1858">
        <v>1</v>
      </c>
      <c r="F1895" s="1859">
        <v>2</v>
      </c>
      <c r="G1895" s="1872" t="s">
        <v>5685</v>
      </c>
      <c r="H1895" s="1856">
        <v>1</v>
      </c>
      <c r="I1895" s="1856">
        <v>1</v>
      </c>
      <c r="J1895" s="1873">
        <v>2</v>
      </c>
      <c r="K1895" s="1860"/>
      <c r="L1895" s="1854">
        <v>13215010301</v>
      </c>
      <c r="M1895" s="1855">
        <v>1</v>
      </c>
      <c r="N1895" s="1855">
        <v>1</v>
      </c>
      <c r="O1895" s="1856">
        <v>2</v>
      </c>
    </row>
    <row r="1896" spans="3:15" ht="13.5">
      <c r="C1896" s="1861" t="s">
        <v>5686</v>
      </c>
      <c r="D1896" s="1858">
        <v>1</v>
      </c>
      <c r="E1896" s="1858">
        <v>1</v>
      </c>
      <c r="F1896" s="1859">
        <v>2</v>
      </c>
      <c r="G1896" s="1872" t="s">
        <v>5686</v>
      </c>
      <c r="H1896" s="1856">
        <v>1</v>
      </c>
      <c r="I1896" s="1856">
        <v>1</v>
      </c>
      <c r="J1896" s="1873">
        <v>2</v>
      </c>
      <c r="K1896" s="1860"/>
      <c r="L1896" s="1854">
        <v>13215010302</v>
      </c>
      <c r="M1896" s="1855">
        <v>1</v>
      </c>
      <c r="N1896" s="1855">
        <v>1</v>
      </c>
      <c r="O1896" s="1856">
        <v>2</v>
      </c>
    </row>
    <row r="1897" spans="3:15" ht="13.5">
      <c r="C1897" s="1861" t="s">
        <v>5687</v>
      </c>
      <c r="D1897" s="1858">
        <v>1</v>
      </c>
      <c r="E1897" s="1858">
        <v>1</v>
      </c>
      <c r="F1897" s="1859">
        <v>2</v>
      </c>
      <c r="G1897" s="1872" t="s">
        <v>5687</v>
      </c>
      <c r="H1897" s="1856">
        <v>1</v>
      </c>
      <c r="I1897" s="1856">
        <v>1</v>
      </c>
      <c r="J1897" s="1873">
        <v>2</v>
      </c>
      <c r="K1897" s="1860"/>
      <c r="L1897" s="1854">
        <v>13215010401</v>
      </c>
      <c r="M1897" s="1855">
        <v>1</v>
      </c>
      <c r="N1897" s="1855">
        <v>1</v>
      </c>
      <c r="O1897" s="1856">
        <v>2</v>
      </c>
    </row>
    <row r="1898" spans="3:15" ht="13.5">
      <c r="C1898" s="1861" t="s">
        <v>5688</v>
      </c>
      <c r="D1898" s="1858">
        <v>1</v>
      </c>
      <c r="E1898" s="1858">
        <v>0</v>
      </c>
      <c r="F1898" s="1859">
        <v>1</v>
      </c>
      <c r="G1898" s="1872" t="s">
        <v>5688</v>
      </c>
      <c r="H1898" s="1856">
        <v>1</v>
      </c>
      <c r="I1898" s="1856">
        <v>0</v>
      </c>
      <c r="J1898" s="1873">
        <v>0</v>
      </c>
      <c r="K1898" s="1860"/>
      <c r="L1898" s="1854">
        <v>13215010402</v>
      </c>
      <c r="M1898" s="1855">
        <v>1</v>
      </c>
      <c r="N1898" s="1855">
        <v>0</v>
      </c>
      <c r="O1898" s="1856">
        <v>1</v>
      </c>
    </row>
    <row r="1899" spans="3:15" ht="13.5">
      <c r="C1899" s="1861" t="s">
        <v>5689</v>
      </c>
      <c r="D1899" s="1858">
        <v>1</v>
      </c>
      <c r="E1899" s="1858">
        <v>0</v>
      </c>
      <c r="F1899" s="1859">
        <v>1</v>
      </c>
      <c r="G1899" s="1872" t="s">
        <v>5689</v>
      </c>
      <c r="H1899" s="1856">
        <v>0</v>
      </c>
      <c r="I1899" s="1856">
        <v>1</v>
      </c>
      <c r="J1899" s="1873">
        <v>1</v>
      </c>
      <c r="K1899" s="1860"/>
      <c r="L1899" s="1854">
        <v>13215010501</v>
      </c>
      <c r="M1899" s="1855">
        <v>1</v>
      </c>
      <c r="N1899" s="1855">
        <v>1</v>
      </c>
      <c r="O1899" s="1856">
        <v>1</v>
      </c>
    </row>
    <row r="1900" spans="3:15" ht="13.5">
      <c r="C1900" s="1861" t="s">
        <v>5690</v>
      </c>
      <c r="D1900" s="1858">
        <v>0</v>
      </c>
      <c r="E1900" s="1858">
        <v>0</v>
      </c>
      <c r="F1900" s="1859">
        <v>0</v>
      </c>
      <c r="G1900" s="1872" t="s">
        <v>5690</v>
      </c>
      <c r="H1900" s="1856">
        <v>0</v>
      </c>
      <c r="I1900" s="1856">
        <v>0</v>
      </c>
      <c r="J1900" s="1873">
        <v>0</v>
      </c>
      <c r="K1900" s="1860"/>
      <c r="L1900" s="1854">
        <v>13215010502</v>
      </c>
      <c r="M1900" s="1855">
        <v>0</v>
      </c>
      <c r="N1900" s="1855">
        <v>0</v>
      </c>
      <c r="O1900" s="1856">
        <v>0</v>
      </c>
    </row>
    <row r="1901" spans="3:15" ht="13.5">
      <c r="C1901" s="1861" t="s">
        <v>5691</v>
      </c>
      <c r="D1901" s="1858">
        <v>0</v>
      </c>
      <c r="E1901" s="1858">
        <v>0</v>
      </c>
      <c r="F1901" s="1859">
        <v>0</v>
      </c>
      <c r="G1901" s="1872" t="s">
        <v>5691</v>
      </c>
      <c r="H1901" s="1856">
        <v>0</v>
      </c>
      <c r="I1901" s="1856">
        <v>0</v>
      </c>
      <c r="J1901" s="1873">
        <v>0</v>
      </c>
      <c r="K1901" s="1860"/>
      <c r="L1901" s="1854">
        <v>13215010602</v>
      </c>
      <c r="M1901" s="1855">
        <v>0</v>
      </c>
      <c r="N1901" s="1855">
        <v>0</v>
      </c>
      <c r="O1901" s="1856">
        <v>0</v>
      </c>
    </row>
    <row r="1902" spans="3:15" ht="13.5">
      <c r="C1902" s="1861" t="s">
        <v>5692</v>
      </c>
      <c r="D1902" s="1858">
        <v>0</v>
      </c>
      <c r="E1902" s="1858">
        <v>0</v>
      </c>
      <c r="F1902" s="1859">
        <v>0</v>
      </c>
      <c r="G1902" s="1872" t="s">
        <v>5692</v>
      </c>
      <c r="H1902" s="1856">
        <v>0</v>
      </c>
      <c r="I1902" s="1856">
        <v>1</v>
      </c>
      <c r="J1902" s="1873">
        <v>1</v>
      </c>
      <c r="K1902" s="1860"/>
      <c r="L1902" s="1854">
        <v>13215010605</v>
      </c>
      <c r="M1902" s="1855">
        <v>0</v>
      </c>
      <c r="N1902" s="1855">
        <v>1</v>
      </c>
      <c r="O1902" s="1856">
        <v>1</v>
      </c>
    </row>
    <row r="1903" spans="3:15" ht="13.5">
      <c r="C1903" s="1861" t="s">
        <v>5693</v>
      </c>
      <c r="D1903" s="1858" t="s">
        <v>3909</v>
      </c>
      <c r="E1903" s="1858">
        <v>0</v>
      </c>
      <c r="F1903" s="1859">
        <v>0</v>
      </c>
      <c r="G1903" s="1872" t="s">
        <v>5693</v>
      </c>
      <c r="H1903" s="1856" t="s">
        <v>3909</v>
      </c>
      <c r="I1903" s="1856" t="s">
        <v>3909</v>
      </c>
      <c r="J1903" s="1873">
        <v>0</v>
      </c>
      <c r="K1903" s="1860"/>
      <c r="L1903" s="1854">
        <v>13215010606</v>
      </c>
      <c r="M1903" s="1855">
        <v>0</v>
      </c>
      <c r="N1903" s="1855">
        <v>0</v>
      </c>
      <c r="O1903" s="1856">
        <v>0</v>
      </c>
    </row>
    <row r="1904" spans="3:15" ht="13.5">
      <c r="C1904" s="1861" t="s">
        <v>5694</v>
      </c>
      <c r="D1904" s="1858">
        <v>0</v>
      </c>
      <c r="E1904" s="1858">
        <v>0</v>
      </c>
      <c r="F1904" s="1859">
        <v>0</v>
      </c>
      <c r="G1904" s="1872" t="s">
        <v>5694</v>
      </c>
      <c r="H1904" s="1856">
        <v>0</v>
      </c>
      <c r="I1904" s="1856">
        <v>0</v>
      </c>
      <c r="J1904" s="1873">
        <v>0</v>
      </c>
      <c r="K1904" s="1860"/>
      <c r="L1904" s="1854">
        <v>13215010607</v>
      </c>
      <c r="M1904" s="1855">
        <v>0</v>
      </c>
      <c r="N1904" s="1855">
        <v>0</v>
      </c>
      <c r="O1904" s="1856">
        <v>0</v>
      </c>
    </row>
    <row r="1905" spans="3:15" ht="13.5">
      <c r="C1905" s="1861" t="s">
        <v>5695</v>
      </c>
      <c r="D1905" s="1858">
        <v>0</v>
      </c>
      <c r="E1905" s="1858">
        <v>0</v>
      </c>
      <c r="F1905" s="1859">
        <v>0</v>
      </c>
      <c r="G1905" s="1872" t="s">
        <v>5695</v>
      </c>
      <c r="H1905" s="1856">
        <v>0</v>
      </c>
      <c r="I1905" s="1856">
        <v>0</v>
      </c>
      <c r="J1905" s="1873">
        <v>0</v>
      </c>
      <c r="K1905" s="1860"/>
      <c r="L1905" s="1854">
        <v>13215010608</v>
      </c>
      <c r="M1905" s="1855">
        <v>0</v>
      </c>
      <c r="N1905" s="1855">
        <v>0</v>
      </c>
      <c r="O1905" s="1856">
        <v>0</v>
      </c>
    </row>
    <row r="1906" spans="3:15" ht="13.5">
      <c r="C1906" s="1861" t="s">
        <v>5696</v>
      </c>
      <c r="D1906" s="1858">
        <v>0</v>
      </c>
      <c r="E1906" s="1858">
        <v>0</v>
      </c>
      <c r="F1906" s="1859">
        <v>0</v>
      </c>
      <c r="G1906" s="1872" t="s">
        <v>5696</v>
      </c>
      <c r="H1906" s="1856">
        <v>0</v>
      </c>
      <c r="I1906" s="1856">
        <v>0</v>
      </c>
      <c r="J1906" s="1873">
        <v>0</v>
      </c>
      <c r="K1906" s="1860"/>
      <c r="L1906" s="1854">
        <v>13215010701</v>
      </c>
      <c r="M1906" s="1855">
        <v>0</v>
      </c>
      <c r="N1906" s="1855">
        <v>0</v>
      </c>
      <c r="O1906" s="1856">
        <v>0</v>
      </c>
    </row>
    <row r="1907" spans="3:15" ht="13.5">
      <c r="C1907" s="1861" t="s">
        <v>5697</v>
      </c>
      <c r="D1907" s="1858">
        <v>0</v>
      </c>
      <c r="E1907" s="1858">
        <v>0</v>
      </c>
      <c r="F1907" s="1859">
        <v>0</v>
      </c>
      <c r="G1907" s="1872" t="s">
        <v>5697</v>
      </c>
      <c r="H1907" s="1856">
        <v>1</v>
      </c>
      <c r="I1907" s="1856">
        <v>0</v>
      </c>
      <c r="J1907" s="1873">
        <v>0</v>
      </c>
      <c r="K1907" s="1860"/>
      <c r="L1907" s="1854">
        <v>13215010702</v>
      </c>
      <c r="M1907" s="1855">
        <v>1</v>
      </c>
      <c r="N1907" s="1855">
        <v>0</v>
      </c>
      <c r="O1907" s="1856">
        <v>0</v>
      </c>
    </row>
    <row r="1908" spans="3:15" ht="13.5">
      <c r="C1908" s="1861" t="s">
        <v>5698</v>
      </c>
      <c r="D1908" s="1858">
        <v>0</v>
      </c>
      <c r="E1908" s="1858">
        <v>0</v>
      </c>
      <c r="F1908" s="1859">
        <v>0</v>
      </c>
      <c r="G1908" s="1872" t="s">
        <v>5698</v>
      </c>
      <c r="H1908" s="1856">
        <v>0</v>
      </c>
      <c r="I1908" s="1856">
        <v>0</v>
      </c>
      <c r="J1908" s="1873">
        <v>0</v>
      </c>
      <c r="K1908" s="1860"/>
      <c r="L1908" s="1854">
        <v>13215010703</v>
      </c>
      <c r="M1908" s="1855">
        <v>0</v>
      </c>
      <c r="N1908" s="1855">
        <v>0</v>
      </c>
      <c r="O1908" s="1856">
        <v>0</v>
      </c>
    </row>
    <row r="1909" spans="3:15" ht="13.5">
      <c r="C1909" s="1861" t="s">
        <v>5699</v>
      </c>
      <c r="D1909" s="1858">
        <v>0</v>
      </c>
      <c r="E1909" s="1858">
        <v>1</v>
      </c>
      <c r="F1909" s="1859">
        <v>1</v>
      </c>
      <c r="G1909" s="1872" t="s">
        <v>5699</v>
      </c>
      <c r="H1909" s="1856">
        <v>0</v>
      </c>
      <c r="I1909" s="1856" t="s">
        <v>3909</v>
      </c>
      <c r="J1909" s="1873">
        <v>0</v>
      </c>
      <c r="K1909" s="1860"/>
      <c r="L1909" s="1854">
        <v>13215010801</v>
      </c>
      <c r="M1909" s="1855">
        <v>0</v>
      </c>
      <c r="N1909" s="1855">
        <v>1</v>
      </c>
      <c r="O1909" s="1856">
        <v>1</v>
      </c>
    </row>
    <row r="1910" spans="3:15" ht="13.5">
      <c r="C1910" s="1861" t="s">
        <v>5700</v>
      </c>
      <c r="D1910" s="1858">
        <v>0</v>
      </c>
      <c r="E1910" s="1858">
        <v>1</v>
      </c>
      <c r="F1910" s="1859">
        <v>1</v>
      </c>
      <c r="G1910" s="1872" t="s">
        <v>5700</v>
      </c>
      <c r="H1910" s="1856">
        <v>1</v>
      </c>
      <c r="I1910" s="1856" t="s">
        <v>3909</v>
      </c>
      <c r="J1910" s="1873">
        <v>1</v>
      </c>
      <c r="K1910" s="1860"/>
      <c r="L1910" s="1854">
        <v>13215010802</v>
      </c>
      <c r="M1910" s="1855">
        <v>1</v>
      </c>
      <c r="N1910" s="1855">
        <v>1</v>
      </c>
      <c r="O1910" s="1856">
        <v>1</v>
      </c>
    </row>
    <row r="1911" spans="3:15" ht="13.5">
      <c r="C1911" s="1861" t="s">
        <v>5701</v>
      </c>
      <c r="D1911" s="1858">
        <v>0</v>
      </c>
      <c r="E1911" s="1858">
        <v>0</v>
      </c>
      <c r="F1911" s="1859">
        <v>0</v>
      </c>
      <c r="G1911" s="1872" t="s">
        <v>5701</v>
      </c>
      <c r="H1911" s="1856">
        <v>0</v>
      </c>
      <c r="I1911" s="1856">
        <v>0</v>
      </c>
      <c r="J1911" s="1873">
        <v>0</v>
      </c>
      <c r="K1911" s="1860"/>
      <c r="L1911" s="1854">
        <v>13215011100</v>
      </c>
      <c r="M1911" s="1855">
        <v>0</v>
      </c>
      <c r="N1911" s="1855">
        <v>0</v>
      </c>
      <c r="O1911" s="1856">
        <v>0</v>
      </c>
    </row>
    <row r="1912" spans="3:15" ht="13.5">
      <c r="C1912" s="1861" t="s">
        <v>5702</v>
      </c>
      <c r="D1912" s="1858">
        <v>0</v>
      </c>
      <c r="E1912" s="1858">
        <v>0</v>
      </c>
      <c r="F1912" s="1859">
        <v>0</v>
      </c>
      <c r="G1912" s="1872" t="s">
        <v>5702</v>
      </c>
      <c r="H1912" s="1856">
        <v>0</v>
      </c>
      <c r="I1912" s="1856">
        <v>0</v>
      </c>
      <c r="J1912" s="1873">
        <v>0</v>
      </c>
      <c r="K1912" s="1860"/>
      <c r="L1912" s="1854">
        <v>13215011200</v>
      </c>
      <c r="M1912" s="1855">
        <v>0</v>
      </c>
      <c r="N1912" s="1855">
        <v>0</v>
      </c>
      <c r="O1912" s="1856">
        <v>0</v>
      </c>
    </row>
    <row r="1913" spans="3:15" ht="13.5">
      <c r="C1913" s="1861" t="s">
        <v>5703</v>
      </c>
      <c r="D1913" s="1858">
        <v>0</v>
      </c>
      <c r="E1913" s="1858">
        <v>0</v>
      </c>
      <c r="F1913" s="1859">
        <v>0</v>
      </c>
      <c r="G1913" s="1872" t="s">
        <v>5703</v>
      </c>
      <c r="H1913" s="1856">
        <v>0</v>
      </c>
      <c r="I1913" s="1856">
        <v>0</v>
      </c>
      <c r="J1913" s="1873">
        <v>0</v>
      </c>
      <c r="K1913" s="1860"/>
      <c r="L1913" s="1854">
        <v>13215011400</v>
      </c>
      <c r="M1913" s="1855">
        <v>0</v>
      </c>
      <c r="N1913" s="1855">
        <v>0</v>
      </c>
      <c r="O1913" s="1856">
        <v>0</v>
      </c>
    </row>
    <row r="1914" spans="3:15" ht="13.5">
      <c r="C1914" s="1861" t="s">
        <v>5704</v>
      </c>
      <c r="D1914" s="1858">
        <v>0</v>
      </c>
      <c r="E1914" s="1858">
        <v>0</v>
      </c>
      <c r="F1914" s="1859">
        <v>0</v>
      </c>
      <c r="G1914" s="1872" t="s">
        <v>5704</v>
      </c>
      <c r="H1914" s="1856">
        <v>0</v>
      </c>
      <c r="I1914" s="1856">
        <v>0</v>
      </c>
      <c r="J1914" s="1873">
        <v>0</v>
      </c>
      <c r="K1914" s="1860"/>
      <c r="L1914" s="1854">
        <v>13215011500</v>
      </c>
      <c r="M1914" s="1855">
        <v>0</v>
      </c>
      <c r="N1914" s="1855">
        <v>0</v>
      </c>
      <c r="O1914" s="1856">
        <v>0</v>
      </c>
    </row>
    <row r="1915" spans="3:15" ht="13.5">
      <c r="C1915" s="1861" t="s">
        <v>5705</v>
      </c>
      <c r="D1915" s="1858">
        <v>0</v>
      </c>
      <c r="E1915" s="1858">
        <v>1</v>
      </c>
      <c r="F1915" s="1859">
        <v>1</v>
      </c>
      <c r="G1915" s="1872" t="s">
        <v>5705</v>
      </c>
      <c r="H1915" s="1856">
        <v>0</v>
      </c>
      <c r="I1915" s="1856">
        <v>1</v>
      </c>
      <c r="J1915" s="1873">
        <v>1</v>
      </c>
      <c r="K1915" s="1860"/>
      <c r="L1915" s="1854">
        <v>13217100100</v>
      </c>
      <c r="M1915" s="1855">
        <v>0</v>
      </c>
      <c r="N1915" s="1855">
        <v>1</v>
      </c>
      <c r="O1915" s="1856">
        <v>1</v>
      </c>
    </row>
    <row r="1916" spans="3:15" ht="13.5">
      <c r="C1916" s="1861" t="s">
        <v>5706</v>
      </c>
      <c r="D1916" s="1858">
        <v>1</v>
      </c>
      <c r="E1916" s="1858">
        <v>1</v>
      </c>
      <c r="F1916" s="1859">
        <v>2</v>
      </c>
      <c r="G1916" s="1872" t="s">
        <v>5706</v>
      </c>
      <c r="H1916" s="1856">
        <v>1</v>
      </c>
      <c r="I1916" s="1856">
        <v>1</v>
      </c>
      <c r="J1916" s="1873">
        <v>2</v>
      </c>
      <c r="K1916" s="1860"/>
      <c r="L1916" s="1854">
        <v>13217100201</v>
      </c>
      <c r="M1916" s="1855">
        <v>1</v>
      </c>
      <c r="N1916" s="1855">
        <v>1</v>
      </c>
      <c r="O1916" s="1856">
        <v>2</v>
      </c>
    </row>
    <row r="1917" spans="3:15" ht="13.5">
      <c r="C1917" s="1861" t="s">
        <v>5707</v>
      </c>
      <c r="D1917" s="1858">
        <v>1</v>
      </c>
      <c r="E1917" s="1858">
        <v>1</v>
      </c>
      <c r="F1917" s="1859">
        <v>2</v>
      </c>
      <c r="G1917" s="1872" t="s">
        <v>5707</v>
      </c>
      <c r="H1917" s="1856">
        <v>1</v>
      </c>
      <c r="I1917" s="1856">
        <v>1</v>
      </c>
      <c r="J1917" s="1873">
        <v>2</v>
      </c>
      <c r="K1917" s="1860"/>
      <c r="L1917" s="1854">
        <v>13217100202</v>
      </c>
      <c r="M1917" s="1855">
        <v>1</v>
      </c>
      <c r="N1917" s="1855">
        <v>1</v>
      </c>
      <c r="O1917" s="1856">
        <v>2</v>
      </c>
    </row>
    <row r="1918" spans="3:15" ht="13.5">
      <c r="C1918" s="1861" t="s">
        <v>5708</v>
      </c>
      <c r="D1918" s="1858">
        <v>0</v>
      </c>
      <c r="E1918" s="1858">
        <v>0</v>
      </c>
      <c r="F1918" s="1859">
        <v>0</v>
      </c>
      <c r="G1918" s="1872" t="s">
        <v>5708</v>
      </c>
      <c r="H1918" s="1856">
        <v>0</v>
      </c>
      <c r="I1918" s="1856">
        <v>1</v>
      </c>
      <c r="J1918" s="1873">
        <v>1</v>
      </c>
      <c r="K1918" s="1860"/>
      <c r="L1918" s="1854">
        <v>13217100300</v>
      </c>
      <c r="M1918" s="1855">
        <v>0</v>
      </c>
      <c r="N1918" s="1855">
        <v>1</v>
      </c>
      <c r="O1918" s="1856">
        <v>1</v>
      </c>
    </row>
    <row r="1919" spans="3:15" ht="13.5">
      <c r="C1919" s="1861" t="s">
        <v>5709</v>
      </c>
      <c r="D1919" s="1858">
        <v>0</v>
      </c>
      <c r="E1919" s="1858">
        <v>0</v>
      </c>
      <c r="F1919" s="1859">
        <v>0</v>
      </c>
      <c r="G1919" s="1872" t="s">
        <v>5709</v>
      </c>
      <c r="H1919" s="1856">
        <v>0</v>
      </c>
      <c r="I1919" s="1856">
        <v>0</v>
      </c>
      <c r="J1919" s="1873">
        <v>0</v>
      </c>
      <c r="K1919" s="1860"/>
      <c r="L1919" s="1854">
        <v>13217100400</v>
      </c>
      <c r="M1919" s="1855">
        <v>0</v>
      </c>
      <c r="N1919" s="1855">
        <v>0</v>
      </c>
      <c r="O1919" s="1856">
        <v>0</v>
      </c>
    </row>
    <row r="1920" spans="3:15" ht="13.5">
      <c r="C1920" s="1861" t="s">
        <v>5710</v>
      </c>
      <c r="D1920" s="1858">
        <v>0</v>
      </c>
      <c r="E1920" s="1858">
        <v>0</v>
      </c>
      <c r="F1920" s="1859">
        <v>0</v>
      </c>
      <c r="G1920" s="1872" t="s">
        <v>5710</v>
      </c>
      <c r="H1920" s="1856">
        <v>0</v>
      </c>
      <c r="I1920" s="1856">
        <v>1</v>
      </c>
      <c r="J1920" s="1873">
        <v>1</v>
      </c>
      <c r="K1920" s="1860"/>
      <c r="L1920" s="1854">
        <v>13217100501</v>
      </c>
      <c r="M1920" s="1855">
        <v>0</v>
      </c>
      <c r="N1920" s="1855">
        <v>1</v>
      </c>
      <c r="O1920" s="1856">
        <v>1</v>
      </c>
    </row>
    <row r="1921" spans="3:15" ht="13.5">
      <c r="C1921" s="1861" t="s">
        <v>5711</v>
      </c>
      <c r="D1921" s="1858">
        <v>0</v>
      </c>
      <c r="E1921" s="1858">
        <v>0</v>
      </c>
      <c r="F1921" s="1859">
        <v>0</v>
      </c>
      <c r="G1921" s="1872" t="s">
        <v>5711</v>
      </c>
      <c r="H1921" s="1856">
        <v>0</v>
      </c>
      <c r="I1921" s="1856">
        <v>0</v>
      </c>
      <c r="J1921" s="1873">
        <v>0</v>
      </c>
      <c r="K1921" s="1860"/>
      <c r="L1921" s="1854">
        <v>13217100502</v>
      </c>
      <c r="M1921" s="1855">
        <v>0</v>
      </c>
      <c r="N1921" s="1855">
        <v>0</v>
      </c>
      <c r="O1921" s="1856">
        <v>0</v>
      </c>
    </row>
    <row r="1922" spans="3:15" ht="13.5">
      <c r="C1922" s="1861" t="s">
        <v>5712</v>
      </c>
      <c r="D1922" s="1858">
        <v>0</v>
      </c>
      <c r="E1922" s="1858">
        <v>0</v>
      </c>
      <c r="F1922" s="1859">
        <v>0</v>
      </c>
      <c r="G1922" s="1872" t="s">
        <v>5712</v>
      </c>
      <c r="H1922" s="1856">
        <v>0</v>
      </c>
      <c r="I1922" s="1856">
        <v>0</v>
      </c>
      <c r="J1922" s="1873">
        <v>0</v>
      </c>
      <c r="K1922" s="1860"/>
      <c r="L1922" s="1854">
        <v>13217100600</v>
      </c>
      <c r="M1922" s="1855">
        <v>0</v>
      </c>
      <c r="N1922" s="1855">
        <v>0</v>
      </c>
      <c r="O1922" s="1856">
        <v>0</v>
      </c>
    </row>
    <row r="1923" spans="3:15" ht="13.5">
      <c r="C1923" s="1861" t="s">
        <v>5713</v>
      </c>
      <c r="D1923" s="1858">
        <v>0</v>
      </c>
      <c r="E1923" s="1858">
        <v>0</v>
      </c>
      <c r="F1923" s="1859">
        <v>0</v>
      </c>
      <c r="G1923" s="1872" t="s">
        <v>5713</v>
      </c>
      <c r="H1923" s="1856">
        <v>0</v>
      </c>
      <c r="I1923" s="1856">
        <v>0</v>
      </c>
      <c r="J1923" s="1873">
        <v>0</v>
      </c>
      <c r="K1923" s="1860"/>
      <c r="L1923" s="1854">
        <v>13217100700</v>
      </c>
      <c r="M1923" s="1855">
        <v>0</v>
      </c>
      <c r="N1923" s="1855">
        <v>0</v>
      </c>
      <c r="O1923" s="1856">
        <v>0</v>
      </c>
    </row>
    <row r="1924" spans="3:15" ht="13.5">
      <c r="C1924" s="1861" t="s">
        <v>5714</v>
      </c>
      <c r="D1924" s="1858">
        <v>0</v>
      </c>
      <c r="E1924" s="1858">
        <v>1</v>
      </c>
      <c r="F1924" s="1859">
        <v>1</v>
      </c>
      <c r="G1924" s="1872" t="s">
        <v>5714</v>
      </c>
      <c r="H1924" s="1856">
        <v>0</v>
      </c>
      <c r="I1924" s="1856">
        <v>0</v>
      </c>
      <c r="J1924" s="1873">
        <v>0</v>
      </c>
      <c r="K1924" s="1860"/>
      <c r="L1924" s="1854">
        <v>13217100800</v>
      </c>
      <c r="M1924" s="1855">
        <v>0</v>
      </c>
      <c r="N1924" s="1855">
        <v>1</v>
      </c>
      <c r="O1924" s="1856">
        <v>1</v>
      </c>
    </row>
    <row r="1925" spans="3:15" ht="13.5">
      <c r="C1925" s="1861" t="s">
        <v>5715</v>
      </c>
      <c r="D1925" s="1858">
        <v>0</v>
      </c>
      <c r="E1925" s="1858">
        <v>1</v>
      </c>
      <c r="F1925" s="1859">
        <v>1</v>
      </c>
      <c r="G1925" s="1872" t="s">
        <v>5715</v>
      </c>
      <c r="H1925" s="1856">
        <v>0</v>
      </c>
      <c r="I1925" s="1856">
        <v>1</v>
      </c>
      <c r="J1925" s="1873">
        <v>1</v>
      </c>
      <c r="K1925" s="1860"/>
      <c r="L1925" s="1854">
        <v>13217100901</v>
      </c>
      <c r="M1925" s="1855">
        <v>0</v>
      </c>
      <c r="N1925" s="1855">
        <v>1</v>
      </c>
      <c r="O1925" s="1856">
        <v>1</v>
      </c>
    </row>
    <row r="1926" spans="3:15" ht="13.5">
      <c r="C1926" s="1861" t="s">
        <v>5716</v>
      </c>
      <c r="D1926" s="1858">
        <v>0</v>
      </c>
      <c r="E1926" s="1858">
        <v>0</v>
      </c>
      <c r="F1926" s="1859">
        <v>0</v>
      </c>
      <c r="G1926" s="1872" t="s">
        <v>5716</v>
      </c>
      <c r="H1926" s="1856">
        <v>0</v>
      </c>
      <c r="I1926" s="1856">
        <v>0</v>
      </c>
      <c r="J1926" s="1873">
        <v>0</v>
      </c>
      <c r="K1926" s="1860"/>
      <c r="L1926" s="1854">
        <v>13217100902</v>
      </c>
      <c r="M1926" s="1855">
        <v>0</v>
      </c>
      <c r="N1926" s="1855">
        <v>0</v>
      </c>
      <c r="O1926" s="1856">
        <v>0</v>
      </c>
    </row>
    <row r="1927" spans="3:15" ht="13.5">
      <c r="C1927" s="1861" t="s">
        <v>5717</v>
      </c>
      <c r="D1927" s="1858">
        <v>0</v>
      </c>
      <c r="E1927" s="1858">
        <v>0</v>
      </c>
      <c r="F1927" s="1859">
        <v>0</v>
      </c>
      <c r="G1927" s="1872" t="s">
        <v>5717</v>
      </c>
      <c r="H1927" s="1856">
        <v>0</v>
      </c>
      <c r="I1927" s="1856">
        <v>0</v>
      </c>
      <c r="J1927" s="1873">
        <v>0</v>
      </c>
      <c r="K1927" s="1860"/>
      <c r="L1927" s="1854">
        <v>13217100903</v>
      </c>
      <c r="M1927" s="1855">
        <v>0</v>
      </c>
      <c r="N1927" s="1855">
        <v>0</v>
      </c>
      <c r="O1927" s="1856">
        <v>0</v>
      </c>
    </row>
    <row r="1928" spans="3:15" ht="13.5">
      <c r="C1928" s="1861" t="s">
        <v>5718</v>
      </c>
      <c r="D1928" s="1858">
        <v>1</v>
      </c>
      <c r="E1928" s="1858">
        <v>1</v>
      </c>
      <c r="F1928" s="1859">
        <v>2</v>
      </c>
      <c r="G1928" s="1872" t="s">
        <v>5718</v>
      </c>
      <c r="H1928" s="1856">
        <v>1</v>
      </c>
      <c r="I1928" s="1856">
        <v>1</v>
      </c>
      <c r="J1928" s="1873">
        <v>2</v>
      </c>
      <c r="K1928" s="1860"/>
      <c r="L1928" s="1854">
        <v>13219030100</v>
      </c>
      <c r="M1928" s="1855">
        <v>1</v>
      </c>
      <c r="N1928" s="1855">
        <v>1</v>
      </c>
      <c r="O1928" s="1856">
        <v>2</v>
      </c>
    </row>
    <row r="1929" spans="3:15" ht="13.5">
      <c r="C1929" s="1861" t="s">
        <v>5719</v>
      </c>
      <c r="D1929" s="1858">
        <v>1</v>
      </c>
      <c r="E1929" s="1858">
        <v>1</v>
      </c>
      <c r="F1929" s="1859">
        <v>2</v>
      </c>
      <c r="G1929" s="1872" t="s">
        <v>5719</v>
      </c>
      <c r="H1929" s="1856">
        <v>1</v>
      </c>
      <c r="I1929" s="1856">
        <v>1</v>
      </c>
      <c r="J1929" s="1873">
        <v>2</v>
      </c>
      <c r="K1929" s="1860"/>
      <c r="L1929" s="1854">
        <v>13219030200</v>
      </c>
      <c r="M1929" s="1855">
        <v>1</v>
      </c>
      <c r="N1929" s="1855">
        <v>1</v>
      </c>
      <c r="O1929" s="1856">
        <v>2</v>
      </c>
    </row>
    <row r="1930" spans="3:15" ht="13.5">
      <c r="C1930" s="1861" t="s">
        <v>5720</v>
      </c>
      <c r="D1930" s="1858">
        <v>1</v>
      </c>
      <c r="E1930" s="1858">
        <v>1</v>
      </c>
      <c r="F1930" s="1859">
        <v>2</v>
      </c>
      <c r="G1930" s="1872" t="s">
        <v>5720</v>
      </c>
      <c r="H1930" s="1856">
        <v>1</v>
      </c>
      <c r="I1930" s="1856">
        <v>1</v>
      </c>
      <c r="J1930" s="1873">
        <v>2</v>
      </c>
      <c r="K1930" s="1860"/>
      <c r="L1930" s="1854">
        <v>13219030300</v>
      </c>
      <c r="M1930" s="1855">
        <v>1</v>
      </c>
      <c r="N1930" s="1855">
        <v>1</v>
      </c>
      <c r="O1930" s="1856">
        <v>2</v>
      </c>
    </row>
    <row r="1931" spans="3:15" ht="13.5">
      <c r="C1931" s="1861" t="s">
        <v>5721</v>
      </c>
      <c r="D1931" s="1858">
        <v>1</v>
      </c>
      <c r="E1931" s="1858">
        <v>1</v>
      </c>
      <c r="F1931" s="1859">
        <v>2</v>
      </c>
      <c r="G1931" s="1872" t="s">
        <v>5721</v>
      </c>
      <c r="H1931" s="1856">
        <v>1</v>
      </c>
      <c r="I1931" s="1856">
        <v>1</v>
      </c>
      <c r="J1931" s="1873">
        <v>2</v>
      </c>
      <c r="K1931" s="1860"/>
      <c r="L1931" s="1854">
        <v>13219030400</v>
      </c>
      <c r="M1931" s="1855">
        <v>1</v>
      </c>
      <c r="N1931" s="1855">
        <v>1</v>
      </c>
      <c r="O1931" s="1856">
        <v>2</v>
      </c>
    </row>
    <row r="1932" spans="3:15" ht="13.5">
      <c r="C1932" s="1861" t="s">
        <v>5722</v>
      </c>
      <c r="D1932" s="1858">
        <v>1</v>
      </c>
      <c r="E1932" s="1858">
        <v>1</v>
      </c>
      <c r="F1932" s="1859">
        <v>2</v>
      </c>
      <c r="G1932" s="1872" t="s">
        <v>5722</v>
      </c>
      <c r="H1932" s="1856">
        <v>1</v>
      </c>
      <c r="I1932" s="1856">
        <v>1</v>
      </c>
      <c r="J1932" s="1873">
        <v>2</v>
      </c>
      <c r="K1932" s="1860"/>
      <c r="L1932" s="1854">
        <v>13219030500</v>
      </c>
      <c r="M1932" s="1855">
        <v>1</v>
      </c>
      <c r="N1932" s="1855">
        <v>1</v>
      </c>
      <c r="O1932" s="1856">
        <v>2</v>
      </c>
    </row>
    <row r="1933" spans="3:15" ht="13.5">
      <c r="C1933" s="1861" t="s">
        <v>5723</v>
      </c>
      <c r="D1933" s="1858">
        <v>1</v>
      </c>
      <c r="E1933" s="1858">
        <v>1</v>
      </c>
      <c r="F1933" s="1859">
        <v>2</v>
      </c>
      <c r="G1933" s="1872" t="s">
        <v>5723</v>
      </c>
      <c r="H1933" s="1856">
        <v>1</v>
      </c>
      <c r="I1933" s="1856">
        <v>1</v>
      </c>
      <c r="J1933" s="1873">
        <v>2</v>
      </c>
      <c r="K1933" s="1860"/>
      <c r="L1933" s="1854">
        <v>13219030600</v>
      </c>
      <c r="M1933" s="1855">
        <v>1</v>
      </c>
      <c r="N1933" s="1855">
        <v>1</v>
      </c>
      <c r="O1933" s="1856">
        <v>2</v>
      </c>
    </row>
    <row r="1934" spans="3:15" ht="13.5">
      <c r="C1934" s="1861" t="s">
        <v>5724</v>
      </c>
      <c r="D1934" s="1858">
        <v>0</v>
      </c>
      <c r="E1934" s="1858">
        <v>0</v>
      </c>
      <c r="F1934" s="1859">
        <v>0</v>
      </c>
      <c r="G1934" s="1872" t="s">
        <v>5724</v>
      </c>
      <c r="H1934" s="1856">
        <v>0</v>
      </c>
      <c r="I1934" s="1856">
        <v>0</v>
      </c>
      <c r="J1934" s="1873">
        <v>0</v>
      </c>
      <c r="K1934" s="1860"/>
      <c r="L1934" s="1854">
        <v>13221960100</v>
      </c>
      <c r="M1934" s="1855">
        <v>0</v>
      </c>
      <c r="N1934" s="1855">
        <v>0</v>
      </c>
      <c r="O1934" s="1856">
        <v>0</v>
      </c>
    </row>
    <row r="1935" spans="3:15" ht="13.5">
      <c r="C1935" s="1861" t="s">
        <v>5725</v>
      </c>
      <c r="D1935" s="1858">
        <v>1</v>
      </c>
      <c r="E1935" s="1858">
        <v>1</v>
      </c>
      <c r="F1935" s="1859">
        <v>2</v>
      </c>
      <c r="G1935" s="1872" t="s">
        <v>5725</v>
      </c>
      <c r="H1935" s="1856">
        <v>1</v>
      </c>
      <c r="I1935" s="1856">
        <v>1</v>
      </c>
      <c r="J1935" s="1873">
        <v>2</v>
      </c>
      <c r="K1935" s="1860"/>
      <c r="L1935" s="1854">
        <v>13221960201</v>
      </c>
      <c r="M1935" s="1855">
        <v>1</v>
      </c>
      <c r="N1935" s="1855">
        <v>1</v>
      </c>
      <c r="O1935" s="1856">
        <v>2</v>
      </c>
    </row>
    <row r="1936" spans="3:15" ht="13.5">
      <c r="C1936" s="1861" t="s">
        <v>5726</v>
      </c>
      <c r="D1936" s="1858">
        <v>0</v>
      </c>
      <c r="E1936" s="1858">
        <v>0</v>
      </c>
      <c r="F1936" s="1859">
        <v>0</v>
      </c>
      <c r="G1936" s="1872" t="s">
        <v>5726</v>
      </c>
      <c r="H1936" s="1856">
        <v>0</v>
      </c>
      <c r="I1936" s="1856">
        <v>1</v>
      </c>
      <c r="J1936" s="1873">
        <v>1</v>
      </c>
      <c r="K1936" s="1860"/>
      <c r="L1936" s="1854">
        <v>13221960202</v>
      </c>
      <c r="M1936" s="1855">
        <v>0</v>
      </c>
      <c r="N1936" s="1855">
        <v>1</v>
      </c>
      <c r="O1936" s="1856">
        <v>1</v>
      </c>
    </row>
    <row r="1937" spans="3:15" ht="13.5">
      <c r="C1937" s="1861" t="s">
        <v>5727</v>
      </c>
      <c r="D1937" s="1858">
        <v>0</v>
      </c>
      <c r="E1937" s="1858">
        <v>0</v>
      </c>
      <c r="F1937" s="1859">
        <v>0</v>
      </c>
      <c r="G1937" s="1872" t="s">
        <v>5727</v>
      </c>
      <c r="H1937" s="1856">
        <v>0</v>
      </c>
      <c r="I1937" s="1856">
        <v>0</v>
      </c>
      <c r="J1937" s="1873">
        <v>0</v>
      </c>
      <c r="K1937" s="1860"/>
      <c r="L1937" s="1854">
        <v>13221960300</v>
      </c>
      <c r="M1937" s="1855">
        <v>0</v>
      </c>
      <c r="N1937" s="1855">
        <v>0</v>
      </c>
      <c r="O1937" s="1856">
        <v>0</v>
      </c>
    </row>
    <row r="1938" spans="3:15" ht="13.5">
      <c r="C1938" s="1861" t="s">
        <v>5728</v>
      </c>
      <c r="D1938" s="1858">
        <v>1</v>
      </c>
      <c r="E1938" s="1858">
        <v>1</v>
      </c>
      <c r="F1938" s="1859">
        <v>2</v>
      </c>
      <c r="G1938" s="1872" t="s">
        <v>5728</v>
      </c>
      <c r="H1938" s="1856">
        <v>1</v>
      </c>
      <c r="I1938" s="1856">
        <v>1</v>
      </c>
      <c r="J1938" s="1873">
        <v>2</v>
      </c>
      <c r="K1938" s="1860"/>
      <c r="L1938" s="1854">
        <v>13223120101</v>
      </c>
      <c r="M1938" s="1855">
        <v>1</v>
      </c>
      <c r="N1938" s="1855">
        <v>1</v>
      </c>
      <c r="O1938" s="1856">
        <v>2</v>
      </c>
    </row>
    <row r="1939" spans="3:15" ht="13.5">
      <c r="C1939" s="1861" t="s">
        <v>5729</v>
      </c>
      <c r="D1939" s="1858">
        <v>1</v>
      </c>
      <c r="E1939" s="1858">
        <v>1</v>
      </c>
      <c r="F1939" s="1859">
        <v>2</v>
      </c>
      <c r="G1939" s="1872" t="s">
        <v>5729</v>
      </c>
      <c r="H1939" s="1856">
        <v>1</v>
      </c>
      <c r="I1939" s="1856">
        <v>1</v>
      </c>
      <c r="J1939" s="1873">
        <v>2</v>
      </c>
      <c r="K1939" s="1860"/>
      <c r="L1939" s="1854">
        <v>13223120102</v>
      </c>
      <c r="M1939" s="1855">
        <v>1</v>
      </c>
      <c r="N1939" s="1855">
        <v>1</v>
      </c>
      <c r="O1939" s="1856">
        <v>2</v>
      </c>
    </row>
    <row r="1940" spans="3:15" ht="13.5">
      <c r="C1940" s="1861" t="s">
        <v>5730</v>
      </c>
      <c r="D1940" s="1858">
        <v>1</v>
      </c>
      <c r="E1940" s="1858">
        <v>1</v>
      </c>
      <c r="F1940" s="1859">
        <v>2</v>
      </c>
      <c r="G1940" s="1872" t="s">
        <v>5730</v>
      </c>
      <c r="H1940" s="1856">
        <v>1</v>
      </c>
      <c r="I1940" s="1856" t="s">
        <v>3909</v>
      </c>
      <c r="J1940" s="1873">
        <v>1</v>
      </c>
      <c r="K1940" s="1860"/>
      <c r="L1940" s="1854">
        <v>13223120103</v>
      </c>
      <c r="M1940" s="1855">
        <v>1</v>
      </c>
      <c r="N1940" s="1855">
        <v>1</v>
      </c>
      <c r="O1940" s="1856">
        <v>2</v>
      </c>
    </row>
    <row r="1941" spans="3:15" ht="13.5">
      <c r="C1941" s="1861" t="s">
        <v>5731</v>
      </c>
      <c r="D1941" s="1858">
        <v>1</v>
      </c>
      <c r="E1941" s="1858">
        <v>1</v>
      </c>
      <c r="F1941" s="1859">
        <v>2</v>
      </c>
      <c r="G1941" s="1872" t="s">
        <v>5731</v>
      </c>
      <c r="H1941" s="1856">
        <v>1</v>
      </c>
      <c r="I1941" s="1856" t="s">
        <v>3909</v>
      </c>
      <c r="J1941" s="1873">
        <v>1</v>
      </c>
      <c r="K1941" s="1860"/>
      <c r="L1941" s="1854">
        <v>13223120104</v>
      </c>
      <c r="M1941" s="1855">
        <v>1</v>
      </c>
      <c r="N1941" s="1855">
        <v>1</v>
      </c>
      <c r="O1941" s="1856">
        <v>2</v>
      </c>
    </row>
    <row r="1942" spans="3:15" ht="13.5">
      <c r="C1942" s="1861" t="s">
        <v>5732</v>
      </c>
      <c r="D1942" s="1858">
        <v>1</v>
      </c>
      <c r="E1942" s="1858">
        <v>1</v>
      </c>
      <c r="F1942" s="1859">
        <v>2</v>
      </c>
      <c r="G1942" s="1872" t="s">
        <v>5732</v>
      </c>
      <c r="H1942" s="1856">
        <v>1</v>
      </c>
      <c r="I1942" s="1856">
        <v>1</v>
      </c>
      <c r="J1942" s="1873">
        <v>2</v>
      </c>
      <c r="K1942" s="1860"/>
      <c r="L1942" s="1854">
        <v>13223120202</v>
      </c>
      <c r="M1942" s="1855">
        <v>1</v>
      </c>
      <c r="N1942" s="1855">
        <v>1</v>
      </c>
      <c r="O1942" s="1856">
        <v>2</v>
      </c>
    </row>
    <row r="1943" spans="3:15" ht="13.5">
      <c r="C1943" s="1861" t="s">
        <v>5733</v>
      </c>
      <c r="D1943" s="1858">
        <v>1</v>
      </c>
      <c r="E1943" s="1858">
        <v>1</v>
      </c>
      <c r="F1943" s="1859">
        <v>2</v>
      </c>
      <c r="G1943" s="1872" t="s">
        <v>5733</v>
      </c>
      <c r="H1943" s="1856">
        <v>1</v>
      </c>
      <c r="I1943" s="1856">
        <v>1</v>
      </c>
      <c r="J1943" s="1873">
        <v>2</v>
      </c>
      <c r="K1943" s="1860"/>
      <c r="L1943" s="1854">
        <v>13223120203</v>
      </c>
      <c r="M1943" s="1855">
        <v>1</v>
      </c>
      <c r="N1943" s="1855">
        <v>1</v>
      </c>
      <c r="O1943" s="1856">
        <v>2</v>
      </c>
    </row>
    <row r="1944" spans="3:15" ht="13.5">
      <c r="C1944" s="1861" t="s">
        <v>5734</v>
      </c>
      <c r="D1944" s="1858">
        <v>1</v>
      </c>
      <c r="E1944" s="1858">
        <v>1</v>
      </c>
      <c r="F1944" s="1859">
        <v>2</v>
      </c>
      <c r="G1944" s="1872" t="s">
        <v>5734</v>
      </c>
      <c r="H1944" s="1856">
        <v>1</v>
      </c>
      <c r="I1944" s="1856">
        <v>1</v>
      </c>
      <c r="J1944" s="1873">
        <v>2</v>
      </c>
      <c r="K1944" s="1860"/>
      <c r="L1944" s="1854">
        <v>13223120204</v>
      </c>
      <c r="M1944" s="1855">
        <v>1</v>
      </c>
      <c r="N1944" s="1855">
        <v>1</v>
      </c>
      <c r="O1944" s="1856">
        <v>2</v>
      </c>
    </row>
    <row r="1945" spans="3:15" ht="13.5">
      <c r="C1945" s="1861" t="s">
        <v>5735</v>
      </c>
      <c r="D1945" s="1858">
        <v>1</v>
      </c>
      <c r="E1945" s="1858">
        <v>0</v>
      </c>
      <c r="F1945" s="1859">
        <v>1</v>
      </c>
      <c r="G1945" s="1872" t="s">
        <v>5735</v>
      </c>
      <c r="H1945" s="1856">
        <v>1</v>
      </c>
      <c r="I1945" s="1856">
        <v>1</v>
      </c>
      <c r="J1945" s="1873">
        <v>2</v>
      </c>
      <c r="K1945" s="1860"/>
      <c r="L1945" s="1854">
        <v>13223120301</v>
      </c>
      <c r="M1945" s="1855">
        <v>1</v>
      </c>
      <c r="N1945" s="1855">
        <v>1</v>
      </c>
      <c r="O1945" s="1856">
        <v>2</v>
      </c>
    </row>
    <row r="1946" spans="3:15" ht="13.5">
      <c r="C1946" s="1861" t="s">
        <v>5736</v>
      </c>
      <c r="D1946" s="1858">
        <v>1</v>
      </c>
      <c r="E1946" s="1858">
        <v>0</v>
      </c>
      <c r="F1946" s="1859">
        <v>1</v>
      </c>
      <c r="G1946" s="1872" t="s">
        <v>5736</v>
      </c>
      <c r="H1946" s="1856">
        <v>1</v>
      </c>
      <c r="I1946" s="1856">
        <v>0</v>
      </c>
      <c r="J1946" s="1873">
        <v>1</v>
      </c>
      <c r="K1946" s="1860"/>
      <c r="L1946" s="1854">
        <v>13223120302</v>
      </c>
      <c r="M1946" s="1855">
        <v>1</v>
      </c>
      <c r="N1946" s="1855">
        <v>0</v>
      </c>
      <c r="O1946" s="1856">
        <v>1</v>
      </c>
    </row>
    <row r="1947" spans="3:15" ht="13.5">
      <c r="C1947" s="1861" t="s">
        <v>5737</v>
      </c>
      <c r="D1947" s="1858">
        <v>1</v>
      </c>
      <c r="E1947" s="1858">
        <v>1</v>
      </c>
      <c r="F1947" s="1859">
        <v>2</v>
      </c>
      <c r="G1947" s="1872" t="s">
        <v>5737</v>
      </c>
      <c r="H1947" s="1856">
        <v>0</v>
      </c>
      <c r="I1947" s="1856">
        <v>0</v>
      </c>
      <c r="J1947" s="1873">
        <v>0</v>
      </c>
      <c r="K1947" s="1860"/>
      <c r="L1947" s="1854">
        <v>13223120303</v>
      </c>
      <c r="M1947" s="1855">
        <v>1</v>
      </c>
      <c r="N1947" s="1855">
        <v>1</v>
      </c>
      <c r="O1947" s="1856">
        <v>2</v>
      </c>
    </row>
    <row r="1948" spans="3:15" ht="13.5">
      <c r="C1948" s="1861" t="s">
        <v>5738</v>
      </c>
      <c r="D1948" s="1858">
        <v>0</v>
      </c>
      <c r="E1948" s="1858">
        <v>1</v>
      </c>
      <c r="F1948" s="1859">
        <v>1</v>
      </c>
      <c r="G1948" s="1872" t="s">
        <v>5738</v>
      </c>
      <c r="H1948" s="1856">
        <v>1</v>
      </c>
      <c r="I1948" s="1856">
        <v>1</v>
      </c>
      <c r="J1948" s="1873">
        <v>2</v>
      </c>
      <c r="K1948" s="1860"/>
      <c r="L1948" s="1854">
        <v>13223120400</v>
      </c>
      <c r="M1948" s="1855">
        <v>1</v>
      </c>
      <c r="N1948" s="1855">
        <v>1</v>
      </c>
      <c r="O1948" s="1856">
        <v>2</v>
      </c>
    </row>
    <row r="1949" spans="3:15" ht="13.5">
      <c r="C1949" s="1861" t="s">
        <v>5739</v>
      </c>
      <c r="D1949" s="1858">
        <v>1</v>
      </c>
      <c r="E1949" s="1858">
        <v>1</v>
      </c>
      <c r="F1949" s="1859">
        <v>2</v>
      </c>
      <c r="G1949" s="1872" t="s">
        <v>5739</v>
      </c>
      <c r="H1949" s="1856">
        <v>1</v>
      </c>
      <c r="I1949" s="1856">
        <v>1</v>
      </c>
      <c r="J1949" s="1873">
        <v>1</v>
      </c>
      <c r="K1949" s="1860"/>
      <c r="L1949" s="1854">
        <v>13223120501</v>
      </c>
      <c r="M1949" s="1855">
        <v>1</v>
      </c>
      <c r="N1949" s="1855">
        <v>1</v>
      </c>
      <c r="O1949" s="1856">
        <v>2</v>
      </c>
    </row>
    <row r="1950" spans="3:15" ht="13.5">
      <c r="C1950" s="1861" t="s">
        <v>5740</v>
      </c>
      <c r="D1950" s="1858">
        <v>1</v>
      </c>
      <c r="E1950" s="1858">
        <v>1</v>
      </c>
      <c r="F1950" s="1859">
        <v>2</v>
      </c>
      <c r="G1950" s="1872" t="s">
        <v>5740</v>
      </c>
      <c r="H1950" s="1856">
        <v>1</v>
      </c>
      <c r="I1950" s="1856">
        <v>0</v>
      </c>
      <c r="J1950" s="1873">
        <v>1</v>
      </c>
      <c r="K1950" s="1860"/>
      <c r="L1950" s="1854">
        <v>13223120502</v>
      </c>
      <c r="M1950" s="1855">
        <v>1</v>
      </c>
      <c r="N1950" s="1855">
        <v>1</v>
      </c>
      <c r="O1950" s="1856">
        <v>2</v>
      </c>
    </row>
    <row r="1951" spans="3:15" ht="13.5">
      <c r="C1951" s="1861" t="s">
        <v>5741</v>
      </c>
      <c r="D1951" s="1858">
        <v>1</v>
      </c>
      <c r="E1951" s="1858">
        <v>1</v>
      </c>
      <c r="F1951" s="1859">
        <v>2</v>
      </c>
      <c r="G1951" s="1872" t="s">
        <v>5741</v>
      </c>
      <c r="H1951" s="1856">
        <v>0</v>
      </c>
      <c r="I1951" s="1856">
        <v>1</v>
      </c>
      <c r="J1951" s="1873">
        <v>1</v>
      </c>
      <c r="K1951" s="1860"/>
      <c r="L1951" s="1854">
        <v>13223120503</v>
      </c>
      <c r="M1951" s="1855">
        <v>1</v>
      </c>
      <c r="N1951" s="1855">
        <v>1</v>
      </c>
      <c r="O1951" s="1856">
        <v>2</v>
      </c>
    </row>
    <row r="1952" spans="3:15" ht="13.5">
      <c r="C1952" s="1861" t="s">
        <v>5742</v>
      </c>
      <c r="D1952" s="1858">
        <v>1</v>
      </c>
      <c r="E1952" s="1858">
        <v>1</v>
      </c>
      <c r="F1952" s="1859">
        <v>2</v>
      </c>
      <c r="G1952" s="1872" t="s">
        <v>5742</v>
      </c>
      <c r="H1952" s="1856">
        <v>1</v>
      </c>
      <c r="I1952" s="1856">
        <v>0</v>
      </c>
      <c r="J1952" s="1873">
        <v>1</v>
      </c>
      <c r="K1952" s="1860"/>
      <c r="L1952" s="1854">
        <v>13223120601</v>
      </c>
      <c r="M1952" s="1855">
        <v>1</v>
      </c>
      <c r="N1952" s="1855">
        <v>1</v>
      </c>
      <c r="O1952" s="1856">
        <v>2</v>
      </c>
    </row>
    <row r="1953" spans="3:15" ht="13.5">
      <c r="C1953" s="1861" t="s">
        <v>5743</v>
      </c>
      <c r="D1953" s="1858">
        <v>1</v>
      </c>
      <c r="E1953" s="1858">
        <v>1</v>
      </c>
      <c r="F1953" s="1859">
        <v>2</v>
      </c>
      <c r="G1953" s="1872" t="s">
        <v>5743</v>
      </c>
      <c r="H1953" s="1856">
        <v>1</v>
      </c>
      <c r="I1953" s="1856" t="s">
        <v>3909</v>
      </c>
      <c r="J1953" s="1873">
        <v>1</v>
      </c>
      <c r="K1953" s="1860"/>
      <c r="L1953" s="1854">
        <v>13223120602</v>
      </c>
      <c r="M1953" s="1855">
        <v>1</v>
      </c>
      <c r="N1953" s="1855">
        <v>1</v>
      </c>
      <c r="O1953" s="1856">
        <v>2</v>
      </c>
    </row>
    <row r="1954" spans="3:15" ht="13.5">
      <c r="C1954" s="1861" t="s">
        <v>5744</v>
      </c>
      <c r="D1954" s="1858">
        <v>1</v>
      </c>
      <c r="E1954" s="1858">
        <v>1</v>
      </c>
      <c r="F1954" s="1859">
        <v>2</v>
      </c>
      <c r="G1954" s="1872" t="s">
        <v>5744</v>
      </c>
      <c r="H1954" s="1856">
        <v>0</v>
      </c>
      <c r="I1954" s="1856">
        <v>1</v>
      </c>
      <c r="J1954" s="1873">
        <v>1</v>
      </c>
      <c r="K1954" s="1860"/>
      <c r="L1954" s="1854">
        <v>13223120603</v>
      </c>
      <c r="M1954" s="1855">
        <v>1</v>
      </c>
      <c r="N1954" s="1855">
        <v>1</v>
      </c>
      <c r="O1954" s="1856">
        <v>2</v>
      </c>
    </row>
    <row r="1955" spans="3:15" ht="13.5">
      <c r="C1955" s="1861" t="s">
        <v>5745</v>
      </c>
      <c r="D1955" s="1858">
        <v>1</v>
      </c>
      <c r="E1955" s="1858">
        <v>1</v>
      </c>
      <c r="F1955" s="1859">
        <v>2</v>
      </c>
      <c r="G1955" s="1872" t="s">
        <v>5745</v>
      </c>
      <c r="H1955" s="1856">
        <v>1</v>
      </c>
      <c r="I1955" s="1856">
        <v>1</v>
      </c>
      <c r="J1955" s="1873">
        <v>2</v>
      </c>
      <c r="K1955" s="1860"/>
      <c r="L1955" s="1854">
        <v>13223120604</v>
      </c>
      <c r="M1955" s="1855">
        <v>1</v>
      </c>
      <c r="N1955" s="1855">
        <v>1</v>
      </c>
      <c r="O1955" s="1856">
        <v>2</v>
      </c>
    </row>
    <row r="1956" spans="3:15" ht="13.5">
      <c r="C1956" s="1861" t="s">
        <v>5746</v>
      </c>
      <c r="D1956" s="1858">
        <v>1</v>
      </c>
      <c r="E1956" s="1858">
        <v>1</v>
      </c>
      <c r="F1956" s="1859">
        <v>2</v>
      </c>
      <c r="G1956" s="1872" t="s">
        <v>5746</v>
      </c>
      <c r="H1956" s="1856">
        <v>1</v>
      </c>
      <c r="I1956" s="1856">
        <v>0</v>
      </c>
      <c r="J1956" s="1873">
        <v>1</v>
      </c>
      <c r="K1956" s="1860"/>
      <c r="L1956" s="1854">
        <v>13223120605</v>
      </c>
      <c r="M1956" s="1855">
        <v>1</v>
      </c>
      <c r="N1956" s="1855">
        <v>1</v>
      </c>
      <c r="O1956" s="1856">
        <v>2</v>
      </c>
    </row>
    <row r="1957" spans="3:15" ht="13.5">
      <c r="C1957" s="1861" t="s">
        <v>5747</v>
      </c>
      <c r="D1957" s="1858">
        <v>1</v>
      </c>
      <c r="E1957" s="1858">
        <v>1</v>
      </c>
      <c r="F1957" s="1859">
        <v>2</v>
      </c>
      <c r="G1957" s="1872" t="s">
        <v>5747</v>
      </c>
      <c r="H1957" s="1856">
        <v>1</v>
      </c>
      <c r="I1957" s="1856">
        <v>1</v>
      </c>
      <c r="J1957" s="1873">
        <v>2</v>
      </c>
      <c r="K1957" s="1860"/>
      <c r="L1957" s="1854">
        <v>13225040101</v>
      </c>
      <c r="M1957" s="1855">
        <v>1</v>
      </c>
      <c r="N1957" s="1855">
        <v>1</v>
      </c>
      <c r="O1957" s="1856">
        <v>2</v>
      </c>
    </row>
    <row r="1958" spans="3:15" ht="13.5">
      <c r="C1958" s="1861" t="s">
        <v>5748</v>
      </c>
      <c r="D1958" s="1858">
        <v>1</v>
      </c>
      <c r="E1958" s="1858">
        <v>1</v>
      </c>
      <c r="F1958" s="1859">
        <v>2</v>
      </c>
      <c r="G1958" s="1872" t="s">
        <v>5748</v>
      </c>
      <c r="H1958" s="1856">
        <v>0</v>
      </c>
      <c r="I1958" s="1856">
        <v>1</v>
      </c>
      <c r="J1958" s="1873">
        <v>1</v>
      </c>
      <c r="K1958" s="1860"/>
      <c r="L1958" s="1854">
        <v>13225040102</v>
      </c>
      <c r="M1958" s="1855">
        <v>1</v>
      </c>
      <c r="N1958" s="1855">
        <v>1</v>
      </c>
      <c r="O1958" s="1856">
        <v>2</v>
      </c>
    </row>
    <row r="1959" spans="3:15" ht="13.5">
      <c r="C1959" s="1861" t="s">
        <v>5749</v>
      </c>
      <c r="D1959" s="1858">
        <v>0</v>
      </c>
      <c r="E1959" s="1858">
        <v>0</v>
      </c>
      <c r="F1959" s="1859">
        <v>0</v>
      </c>
      <c r="G1959" s="1872" t="s">
        <v>5749</v>
      </c>
      <c r="H1959" s="1856">
        <v>0</v>
      </c>
      <c r="I1959" s="1856">
        <v>0</v>
      </c>
      <c r="J1959" s="1873">
        <v>0</v>
      </c>
      <c r="K1959" s="1860"/>
      <c r="L1959" s="1854">
        <v>13225040200</v>
      </c>
      <c r="M1959" s="1855">
        <v>0</v>
      </c>
      <c r="N1959" s="1855">
        <v>0</v>
      </c>
      <c r="O1959" s="1856">
        <v>0</v>
      </c>
    </row>
    <row r="1960" spans="3:15" ht="13.5">
      <c r="C1960" s="1861" t="s">
        <v>5750</v>
      </c>
      <c r="D1960" s="1858">
        <v>1</v>
      </c>
      <c r="E1960" s="1858">
        <v>0</v>
      </c>
      <c r="F1960" s="1859">
        <v>1</v>
      </c>
      <c r="G1960" s="1872" t="s">
        <v>5750</v>
      </c>
      <c r="H1960" s="1856">
        <v>0</v>
      </c>
      <c r="I1960" s="1856">
        <v>0</v>
      </c>
      <c r="J1960" s="1873">
        <v>0</v>
      </c>
      <c r="K1960" s="1860"/>
      <c r="L1960" s="1854">
        <v>13225040301</v>
      </c>
      <c r="M1960" s="1855">
        <v>1</v>
      </c>
      <c r="N1960" s="1855">
        <v>0</v>
      </c>
      <c r="O1960" s="1856">
        <v>1</v>
      </c>
    </row>
    <row r="1961" spans="3:15" ht="13.5">
      <c r="C1961" s="1861" t="s">
        <v>5751</v>
      </c>
      <c r="D1961" s="1858">
        <v>0</v>
      </c>
      <c r="E1961" s="1858">
        <v>0</v>
      </c>
      <c r="F1961" s="1859">
        <v>0</v>
      </c>
      <c r="G1961" s="1872" t="s">
        <v>5751</v>
      </c>
      <c r="H1961" s="1856">
        <v>0</v>
      </c>
      <c r="I1961" s="1856">
        <v>0</v>
      </c>
      <c r="J1961" s="1873">
        <v>0</v>
      </c>
      <c r="K1961" s="1860"/>
      <c r="L1961" s="1854">
        <v>13225040302</v>
      </c>
      <c r="M1961" s="1855">
        <v>0</v>
      </c>
      <c r="N1961" s="1855">
        <v>0</v>
      </c>
      <c r="O1961" s="1856">
        <v>0</v>
      </c>
    </row>
    <row r="1962" spans="3:15" ht="13.5">
      <c r="C1962" s="1861" t="s">
        <v>5752</v>
      </c>
      <c r="D1962" s="1858">
        <v>0</v>
      </c>
      <c r="E1962" s="1858">
        <v>0</v>
      </c>
      <c r="F1962" s="1859">
        <v>0</v>
      </c>
      <c r="G1962" s="1872" t="s">
        <v>5752</v>
      </c>
      <c r="H1962" s="1856">
        <v>0</v>
      </c>
      <c r="I1962" s="1856" t="s">
        <v>3909</v>
      </c>
      <c r="J1962" s="1873">
        <v>0</v>
      </c>
      <c r="K1962" s="1860"/>
      <c r="L1962" s="1854">
        <v>13225040400</v>
      </c>
      <c r="M1962" s="1855">
        <v>0</v>
      </c>
      <c r="N1962" s="1855">
        <v>0</v>
      </c>
      <c r="O1962" s="1856">
        <v>0</v>
      </c>
    </row>
    <row r="1963" spans="3:15" ht="13.5">
      <c r="C1963" s="1861" t="s">
        <v>5753</v>
      </c>
      <c r="D1963" s="1858">
        <v>1</v>
      </c>
      <c r="E1963" s="1858">
        <v>1</v>
      </c>
      <c r="F1963" s="1859">
        <v>2</v>
      </c>
      <c r="G1963" s="1872" t="s">
        <v>5753</v>
      </c>
      <c r="H1963" s="1856">
        <v>1</v>
      </c>
      <c r="I1963" s="1856">
        <v>1</v>
      </c>
      <c r="J1963" s="1873">
        <v>2</v>
      </c>
      <c r="K1963" s="1860"/>
      <c r="L1963" s="1854">
        <v>13227050100</v>
      </c>
      <c r="M1963" s="1855">
        <v>1</v>
      </c>
      <c r="N1963" s="1855">
        <v>1</v>
      </c>
      <c r="O1963" s="1856">
        <v>2</v>
      </c>
    </row>
    <row r="1964" spans="3:15" ht="13.5">
      <c r="C1964" s="1861" t="s">
        <v>5754</v>
      </c>
      <c r="D1964" s="1858">
        <v>0</v>
      </c>
      <c r="E1964" s="1858">
        <v>0</v>
      </c>
      <c r="F1964" s="1859">
        <v>0</v>
      </c>
      <c r="G1964" s="1872" t="s">
        <v>5754</v>
      </c>
      <c r="H1964" s="1856">
        <v>0</v>
      </c>
      <c r="I1964" s="1856">
        <v>0</v>
      </c>
      <c r="J1964" s="1873">
        <v>0</v>
      </c>
      <c r="K1964" s="1860"/>
      <c r="L1964" s="1854">
        <v>13227050200</v>
      </c>
      <c r="M1964" s="1855">
        <v>0</v>
      </c>
      <c r="N1964" s="1855">
        <v>0</v>
      </c>
      <c r="O1964" s="1856">
        <v>0</v>
      </c>
    </row>
    <row r="1965" spans="3:15" ht="13.5">
      <c r="C1965" s="1861" t="s">
        <v>5755</v>
      </c>
      <c r="D1965" s="1858">
        <v>0</v>
      </c>
      <c r="E1965" s="1858">
        <v>1</v>
      </c>
      <c r="F1965" s="1859">
        <v>1</v>
      </c>
      <c r="G1965" s="1872" t="s">
        <v>5755</v>
      </c>
      <c r="H1965" s="1856">
        <v>0</v>
      </c>
      <c r="I1965" s="1856">
        <v>0</v>
      </c>
      <c r="J1965" s="1873">
        <v>0</v>
      </c>
      <c r="K1965" s="1860"/>
      <c r="L1965" s="1854">
        <v>13227050300</v>
      </c>
      <c r="M1965" s="1855">
        <v>0</v>
      </c>
      <c r="N1965" s="1855">
        <v>1</v>
      </c>
      <c r="O1965" s="1856">
        <v>1</v>
      </c>
    </row>
    <row r="1966" spans="3:15" ht="13.5">
      <c r="C1966" s="1861" t="s">
        <v>5756</v>
      </c>
      <c r="D1966" s="1858">
        <v>0</v>
      </c>
      <c r="E1966" s="1858">
        <v>0</v>
      </c>
      <c r="F1966" s="1859">
        <v>0</v>
      </c>
      <c r="G1966" s="1872" t="s">
        <v>5756</v>
      </c>
      <c r="H1966" s="1856">
        <v>0</v>
      </c>
      <c r="I1966" s="1856">
        <v>1</v>
      </c>
      <c r="J1966" s="1873">
        <v>1</v>
      </c>
      <c r="K1966" s="1860"/>
      <c r="L1966" s="1854">
        <v>13227050400</v>
      </c>
      <c r="M1966" s="1855">
        <v>0</v>
      </c>
      <c r="N1966" s="1855">
        <v>1</v>
      </c>
      <c r="O1966" s="1856">
        <v>1</v>
      </c>
    </row>
    <row r="1967" spans="3:15" ht="13.5">
      <c r="C1967" s="1861" t="s">
        <v>5757</v>
      </c>
      <c r="D1967" s="1858">
        <v>1</v>
      </c>
      <c r="E1967" s="1858">
        <v>1</v>
      </c>
      <c r="F1967" s="1859">
        <v>2</v>
      </c>
      <c r="G1967" s="1872" t="s">
        <v>5757</v>
      </c>
      <c r="H1967" s="1856">
        <v>0</v>
      </c>
      <c r="I1967" s="1856">
        <v>0</v>
      </c>
      <c r="J1967" s="1873">
        <v>0</v>
      </c>
      <c r="K1967" s="1860"/>
      <c r="L1967" s="1854">
        <v>13227050500</v>
      </c>
      <c r="M1967" s="1855">
        <v>1</v>
      </c>
      <c r="N1967" s="1855">
        <v>1</v>
      </c>
      <c r="O1967" s="1856">
        <v>2</v>
      </c>
    </row>
    <row r="1968" spans="3:15" ht="13.5">
      <c r="C1968" s="1861" t="s">
        <v>5758</v>
      </c>
      <c r="D1968" s="1858">
        <v>1</v>
      </c>
      <c r="E1968" s="1858">
        <v>1</v>
      </c>
      <c r="F1968" s="1859">
        <v>2</v>
      </c>
      <c r="G1968" s="1872" t="s">
        <v>5758</v>
      </c>
      <c r="H1968" s="1856">
        <v>1</v>
      </c>
      <c r="I1968" s="1856">
        <v>1</v>
      </c>
      <c r="J1968" s="1873">
        <v>2</v>
      </c>
      <c r="K1968" s="1860"/>
      <c r="L1968" s="1854">
        <v>13227050600</v>
      </c>
      <c r="M1968" s="1855">
        <v>1</v>
      </c>
      <c r="N1968" s="1855">
        <v>1</v>
      </c>
      <c r="O1968" s="1856">
        <v>2</v>
      </c>
    </row>
    <row r="1969" spans="3:15" ht="13.5">
      <c r="C1969" s="1861" t="s">
        <v>5759</v>
      </c>
      <c r="D1969" s="1858">
        <v>0</v>
      </c>
      <c r="E1969" s="1858">
        <v>0</v>
      </c>
      <c r="F1969" s="1859">
        <v>0</v>
      </c>
      <c r="G1969" s="1872" t="s">
        <v>5759</v>
      </c>
      <c r="H1969" s="1856">
        <v>0</v>
      </c>
      <c r="I1969" s="1856">
        <v>0</v>
      </c>
      <c r="J1969" s="1873">
        <v>0</v>
      </c>
      <c r="K1969" s="1860"/>
      <c r="L1969" s="1854">
        <v>13229960100</v>
      </c>
      <c r="M1969" s="1855">
        <v>0</v>
      </c>
      <c r="N1969" s="1855">
        <v>0</v>
      </c>
      <c r="O1969" s="1856">
        <v>0</v>
      </c>
    </row>
    <row r="1970" spans="3:15" ht="13.5">
      <c r="C1970" s="1861" t="s">
        <v>5760</v>
      </c>
      <c r="D1970" s="1858">
        <v>0</v>
      </c>
      <c r="E1970" s="1858">
        <v>0</v>
      </c>
      <c r="F1970" s="1859">
        <v>0</v>
      </c>
      <c r="G1970" s="1872" t="s">
        <v>5760</v>
      </c>
      <c r="H1970" s="1856">
        <v>0</v>
      </c>
      <c r="I1970" s="1856">
        <v>0</v>
      </c>
      <c r="J1970" s="1873">
        <v>0</v>
      </c>
      <c r="K1970" s="1860"/>
      <c r="L1970" s="1854">
        <v>13229960200</v>
      </c>
      <c r="M1970" s="1855">
        <v>0</v>
      </c>
      <c r="N1970" s="1855">
        <v>0</v>
      </c>
      <c r="O1970" s="1856">
        <v>0</v>
      </c>
    </row>
    <row r="1971" spans="3:15" ht="13.5">
      <c r="C1971" s="1861" t="s">
        <v>5761</v>
      </c>
      <c r="D1971" s="1858">
        <v>0</v>
      </c>
      <c r="E1971" s="1858">
        <v>0</v>
      </c>
      <c r="F1971" s="1859">
        <v>0</v>
      </c>
      <c r="G1971" s="1872" t="s">
        <v>5761</v>
      </c>
      <c r="H1971" s="1856">
        <v>0</v>
      </c>
      <c r="I1971" s="1856">
        <v>0</v>
      </c>
      <c r="J1971" s="1873">
        <v>0</v>
      </c>
      <c r="K1971" s="1860"/>
      <c r="L1971" s="1854">
        <v>13229960300</v>
      </c>
      <c r="M1971" s="1855">
        <v>0</v>
      </c>
      <c r="N1971" s="1855">
        <v>0</v>
      </c>
      <c r="O1971" s="1856">
        <v>0</v>
      </c>
    </row>
    <row r="1972" spans="3:15" ht="13.5">
      <c r="C1972" s="1861" t="s">
        <v>5762</v>
      </c>
      <c r="D1972" s="1858">
        <v>0</v>
      </c>
      <c r="E1972" s="1858">
        <v>1</v>
      </c>
      <c r="F1972" s="1859">
        <v>1</v>
      </c>
      <c r="G1972" s="1872" t="s">
        <v>5762</v>
      </c>
      <c r="H1972" s="1856">
        <v>0</v>
      </c>
      <c r="I1972" s="1856">
        <v>0</v>
      </c>
      <c r="J1972" s="1873">
        <v>0</v>
      </c>
      <c r="K1972" s="1860"/>
      <c r="L1972" s="1854">
        <v>13229960400</v>
      </c>
      <c r="M1972" s="1855">
        <v>0</v>
      </c>
      <c r="N1972" s="1855">
        <v>1</v>
      </c>
      <c r="O1972" s="1856">
        <v>1</v>
      </c>
    </row>
    <row r="1973" spans="3:15" ht="13.5">
      <c r="C1973" s="1861" t="s">
        <v>5763</v>
      </c>
      <c r="D1973" s="1858">
        <v>0</v>
      </c>
      <c r="E1973" s="1858">
        <v>1</v>
      </c>
      <c r="F1973" s="1859">
        <v>1</v>
      </c>
      <c r="G1973" s="1872" t="s">
        <v>5763</v>
      </c>
      <c r="H1973" s="1856">
        <v>0</v>
      </c>
      <c r="I1973" s="1856">
        <v>1</v>
      </c>
      <c r="J1973" s="1873">
        <v>1</v>
      </c>
      <c r="K1973" s="1860"/>
      <c r="L1973" s="1854">
        <v>13231010100</v>
      </c>
      <c r="M1973" s="1855">
        <v>0</v>
      </c>
      <c r="N1973" s="1855">
        <v>1</v>
      </c>
      <c r="O1973" s="1856">
        <v>1</v>
      </c>
    </row>
    <row r="1974" spans="3:15" ht="13.5">
      <c r="C1974" s="1861" t="s">
        <v>5764</v>
      </c>
      <c r="D1974" s="1858">
        <v>1</v>
      </c>
      <c r="E1974" s="1858">
        <v>1</v>
      </c>
      <c r="F1974" s="1859">
        <v>2</v>
      </c>
      <c r="G1974" s="1872" t="s">
        <v>5764</v>
      </c>
      <c r="H1974" s="1856">
        <v>1</v>
      </c>
      <c r="I1974" s="1856">
        <v>1</v>
      </c>
      <c r="J1974" s="1873">
        <v>2</v>
      </c>
      <c r="K1974" s="1860"/>
      <c r="L1974" s="1854">
        <v>13231010200</v>
      </c>
      <c r="M1974" s="1855">
        <v>1</v>
      </c>
      <c r="N1974" s="1855">
        <v>1</v>
      </c>
      <c r="O1974" s="1856">
        <v>2</v>
      </c>
    </row>
    <row r="1975" spans="3:15" ht="13.5">
      <c r="C1975" s="1861" t="s">
        <v>5765</v>
      </c>
      <c r="D1975" s="1858">
        <v>0</v>
      </c>
      <c r="E1975" s="1858">
        <v>1</v>
      </c>
      <c r="F1975" s="1859">
        <v>1</v>
      </c>
      <c r="G1975" s="1872" t="s">
        <v>5765</v>
      </c>
      <c r="H1975" s="1856">
        <v>0</v>
      </c>
      <c r="I1975" s="1856">
        <v>0</v>
      </c>
      <c r="J1975" s="1873">
        <v>0</v>
      </c>
      <c r="K1975" s="1860"/>
      <c r="L1975" s="1854">
        <v>13231010300</v>
      </c>
      <c r="M1975" s="1855">
        <v>0</v>
      </c>
      <c r="N1975" s="1855">
        <v>1</v>
      </c>
      <c r="O1975" s="1856">
        <v>1</v>
      </c>
    </row>
    <row r="1976" spans="3:15" ht="13.5">
      <c r="C1976" s="1861" t="s">
        <v>5766</v>
      </c>
      <c r="D1976" s="1858">
        <v>0</v>
      </c>
      <c r="E1976" s="1858">
        <v>1</v>
      </c>
      <c r="F1976" s="1859">
        <v>1</v>
      </c>
      <c r="G1976" s="1872" t="s">
        <v>5766</v>
      </c>
      <c r="H1976" s="1856">
        <v>0</v>
      </c>
      <c r="I1976" s="1856">
        <v>0</v>
      </c>
      <c r="J1976" s="1873">
        <v>0</v>
      </c>
      <c r="K1976" s="1860"/>
      <c r="L1976" s="1854">
        <v>13231010400</v>
      </c>
      <c r="M1976" s="1855">
        <v>0</v>
      </c>
      <c r="N1976" s="1855">
        <v>1</v>
      </c>
      <c r="O1976" s="1856">
        <v>1</v>
      </c>
    </row>
    <row r="1977" spans="3:15" ht="13.5">
      <c r="C1977" s="1861" t="s">
        <v>5767</v>
      </c>
      <c r="D1977" s="1858">
        <v>0</v>
      </c>
      <c r="E1977" s="1858">
        <v>0</v>
      </c>
      <c r="F1977" s="1859">
        <v>0</v>
      </c>
      <c r="G1977" s="1872" t="s">
        <v>5767</v>
      </c>
      <c r="H1977" s="1856">
        <v>0</v>
      </c>
      <c r="I1977" s="1856">
        <v>0</v>
      </c>
      <c r="J1977" s="1873">
        <v>0</v>
      </c>
      <c r="K1977" s="1860"/>
      <c r="L1977" s="1854">
        <v>13233010100</v>
      </c>
      <c r="M1977" s="1855">
        <v>0</v>
      </c>
      <c r="N1977" s="1855">
        <v>0</v>
      </c>
      <c r="O1977" s="1856">
        <v>0</v>
      </c>
    </row>
    <row r="1978" spans="3:15" ht="13.5">
      <c r="C1978" s="1861" t="s">
        <v>5768</v>
      </c>
      <c r="D1978" s="1858">
        <v>0</v>
      </c>
      <c r="E1978" s="1858">
        <v>0</v>
      </c>
      <c r="F1978" s="1859">
        <v>0</v>
      </c>
      <c r="G1978" s="1872" t="s">
        <v>5768</v>
      </c>
      <c r="H1978" s="1856">
        <v>0</v>
      </c>
      <c r="I1978" s="1856">
        <v>1</v>
      </c>
      <c r="J1978" s="1873">
        <v>1</v>
      </c>
      <c r="K1978" s="1860"/>
      <c r="L1978" s="1854">
        <v>13233010200</v>
      </c>
      <c r="M1978" s="1855">
        <v>0</v>
      </c>
      <c r="N1978" s="1855">
        <v>1</v>
      </c>
      <c r="O1978" s="1856">
        <v>1</v>
      </c>
    </row>
    <row r="1979" spans="3:15" ht="13.5">
      <c r="C1979" s="1861" t="s">
        <v>5769</v>
      </c>
      <c r="D1979" s="1858">
        <v>0</v>
      </c>
      <c r="E1979" s="1858">
        <v>0</v>
      </c>
      <c r="F1979" s="1859">
        <v>0</v>
      </c>
      <c r="G1979" s="1872" t="s">
        <v>5769</v>
      </c>
      <c r="H1979" s="1856">
        <v>0</v>
      </c>
      <c r="I1979" s="1856">
        <v>0</v>
      </c>
      <c r="J1979" s="1873">
        <v>0</v>
      </c>
      <c r="K1979" s="1860"/>
      <c r="L1979" s="1854">
        <v>13233010300</v>
      </c>
      <c r="M1979" s="1855">
        <v>0</v>
      </c>
      <c r="N1979" s="1855">
        <v>0</v>
      </c>
      <c r="O1979" s="1856">
        <v>0</v>
      </c>
    </row>
    <row r="1980" spans="3:15" ht="13.5">
      <c r="C1980" s="1861" t="s">
        <v>5770</v>
      </c>
      <c r="D1980" s="1858">
        <v>0</v>
      </c>
      <c r="E1980" s="1858">
        <v>0</v>
      </c>
      <c r="F1980" s="1859">
        <v>0</v>
      </c>
      <c r="G1980" s="1872" t="s">
        <v>5770</v>
      </c>
      <c r="H1980" s="1856">
        <v>0</v>
      </c>
      <c r="I1980" s="1856">
        <v>0</v>
      </c>
      <c r="J1980" s="1873">
        <v>0</v>
      </c>
      <c r="K1980" s="1860"/>
      <c r="L1980" s="1854">
        <v>13233010400</v>
      </c>
      <c r="M1980" s="1855">
        <v>0</v>
      </c>
      <c r="N1980" s="1855">
        <v>0</v>
      </c>
      <c r="O1980" s="1856">
        <v>0</v>
      </c>
    </row>
    <row r="1981" spans="3:15" ht="13.5">
      <c r="C1981" s="1861" t="s">
        <v>5771</v>
      </c>
      <c r="D1981" s="1858">
        <v>0</v>
      </c>
      <c r="E1981" s="1858">
        <v>0</v>
      </c>
      <c r="F1981" s="1859">
        <v>0</v>
      </c>
      <c r="G1981" s="1872" t="s">
        <v>5771</v>
      </c>
      <c r="H1981" s="1856">
        <v>0</v>
      </c>
      <c r="I1981" s="1856">
        <v>0</v>
      </c>
      <c r="J1981" s="1873">
        <v>0</v>
      </c>
      <c r="K1981" s="1860"/>
      <c r="L1981" s="1854">
        <v>13233010500</v>
      </c>
      <c r="M1981" s="1855">
        <v>0</v>
      </c>
      <c r="N1981" s="1855">
        <v>0</v>
      </c>
      <c r="O1981" s="1856">
        <v>0</v>
      </c>
    </row>
    <row r="1982" spans="3:15" ht="13.5">
      <c r="C1982" s="1861" t="s">
        <v>5772</v>
      </c>
      <c r="D1982" s="1858">
        <v>0</v>
      </c>
      <c r="E1982" s="1858">
        <v>0</v>
      </c>
      <c r="F1982" s="1859">
        <v>0</v>
      </c>
      <c r="G1982" s="1872" t="s">
        <v>5772</v>
      </c>
      <c r="H1982" s="1856">
        <v>0</v>
      </c>
      <c r="I1982" s="1856">
        <v>1</v>
      </c>
      <c r="J1982" s="1873">
        <v>1</v>
      </c>
      <c r="K1982" s="1860"/>
      <c r="L1982" s="1854">
        <v>13233010600</v>
      </c>
      <c r="M1982" s="1855">
        <v>0</v>
      </c>
      <c r="N1982" s="1855">
        <v>1</v>
      </c>
      <c r="O1982" s="1856">
        <v>1</v>
      </c>
    </row>
    <row r="1983" spans="3:15" ht="13.5">
      <c r="C1983" s="1861" t="s">
        <v>5773</v>
      </c>
      <c r="D1983" s="1858">
        <v>0</v>
      </c>
      <c r="E1983" s="1858">
        <v>0</v>
      </c>
      <c r="F1983" s="1859">
        <v>0</v>
      </c>
      <c r="G1983" s="1872" t="s">
        <v>5773</v>
      </c>
      <c r="H1983" s="1856">
        <v>0</v>
      </c>
      <c r="I1983" s="1856">
        <v>0</v>
      </c>
      <c r="J1983" s="1873">
        <v>0</v>
      </c>
      <c r="K1983" s="1860"/>
      <c r="L1983" s="1854">
        <v>13233010700</v>
      </c>
      <c r="M1983" s="1855">
        <v>0</v>
      </c>
      <c r="N1983" s="1855">
        <v>0</v>
      </c>
      <c r="O1983" s="1856">
        <v>0</v>
      </c>
    </row>
    <row r="1984" spans="3:15" ht="13.5">
      <c r="C1984" s="1861" t="s">
        <v>5774</v>
      </c>
      <c r="D1984" s="1858">
        <v>0</v>
      </c>
      <c r="E1984" s="1858">
        <v>0</v>
      </c>
      <c r="F1984" s="1859">
        <v>0</v>
      </c>
      <c r="G1984" s="1872" t="s">
        <v>5774</v>
      </c>
      <c r="H1984" s="1856">
        <v>0</v>
      </c>
      <c r="I1984" s="1856">
        <v>0</v>
      </c>
      <c r="J1984" s="1873">
        <v>0</v>
      </c>
      <c r="K1984" s="1860"/>
      <c r="L1984" s="1854">
        <v>13235950100</v>
      </c>
      <c r="M1984" s="1855">
        <v>0</v>
      </c>
      <c r="N1984" s="1855">
        <v>0</v>
      </c>
      <c r="O1984" s="1856">
        <v>0</v>
      </c>
    </row>
    <row r="1985" spans="3:15" ht="13.5">
      <c r="C1985" s="1861" t="s">
        <v>5775</v>
      </c>
      <c r="D1985" s="1858">
        <v>0</v>
      </c>
      <c r="E1985" s="1858">
        <v>0</v>
      </c>
      <c r="F1985" s="1859">
        <v>0</v>
      </c>
      <c r="G1985" s="1872" t="s">
        <v>5775</v>
      </c>
      <c r="H1985" s="1856">
        <v>0</v>
      </c>
      <c r="I1985" s="1856">
        <v>1</v>
      </c>
      <c r="J1985" s="1873">
        <v>1</v>
      </c>
      <c r="K1985" s="1860"/>
      <c r="L1985" s="1854">
        <v>13235950200</v>
      </c>
      <c r="M1985" s="1855">
        <v>0</v>
      </c>
      <c r="N1985" s="1855">
        <v>1</v>
      </c>
      <c r="O1985" s="1856">
        <v>1</v>
      </c>
    </row>
    <row r="1986" spans="3:15" ht="13.5">
      <c r="C1986" s="1861" t="s">
        <v>5776</v>
      </c>
      <c r="D1986" s="1858">
        <v>0</v>
      </c>
      <c r="E1986" s="1858">
        <v>0</v>
      </c>
      <c r="F1986" s="1859">
        <v>0</v>
      </c>
      <c r="G1986" s="1872" t="s">
        <v>5776</v>
      </c>
      <c r="H1986" s="1856">
        <v>0</v>
      </c>
      <c r="I1986" s="1856">
        <v>0</v>
      </c>
      <c r="J1986" s="1873">
        <v>0</v>
      </c>
      <c r="K1986" s="1860"/>
      <c r="L1986" s="1854">
        <v>13235950300</v>
      </c>
      <c r="M1986" s="1855">
        <v>0</v>
      </c>
      <c r="N1986" s="1855">
        <v>0</v>
      </c>
      <c r="O1986" s="1856">
        <v>0</v>
      </c>
    </row>
    <row r="1987" spans="3:15" ht="13.5">
      <c r="C1987" s="1861" t="s">
        <v>5777</v>
      </c>
      <c r="D1987" s="1858">
        <v>0</v>
      </c>
      <c r="E1987" s="1858">
        <v>0</v>
      </c>
      <c r="F1987" s="1859">
        <v>0</v>
      </c>
      <c r="G1987" s="1872" t="s">
        <v>5777</v>
      </c>
      <c r="H1987" s="1856">
        <v>0</v>
      </c>
      <c r="I1987" s="1856">
        <v>1</v>
      </c>
      <c r="J1987" s="1873">
        <v>1</v>
      </c>
      <c r="K1987" s="1860"/>
      <c r="L1987" s="1854">
        <v>13237960101</v>
      </c>
      <c r="M1987" s="1855">
        <v>0</v>
      </c>
      <c r="N1987" s="1855">
        <v>1</v>
      </c>
      <c r="O1987" s="1856">
        <v>1</v>
      </c>
    </row>
    <row r="1988" spans="3:15" ht="13.5">
      <c r="C1988" s="1861" t="s">
        <v>5778</v>
      </c>
      <c r="D1988" s="1858">
        <v>1</v>
      </c>
      <c r="E1988" s="1858">
        <v>1</v>
      </c>
      <c r="F1988" s="1859">
        <v>2</v>
      </c>
      <c r="G1988" s="1872" t="s">
        <v>5778</v>
      </c>
      <c r="H1988" s="1856">
        <v>1</v>
      </c>
      <c r="I1988" s="1856" t="s">
        <v>3909</v>
      </c>
      <c r="J1988" s="1873">
        <v>1</v>
      </c>
      <c r="K1988" s="1860"/>
      <c r="L1988" s="1854">
        <v>13237960102</v>
      </c>
      <c r="M1988" s="1855">
        <v>1</v>
      </c>
      <c r="N1988" s="1855">
        <v>1</v>
      </c>
      <c r="O1988" s="1856">
        <v>2</v>
      </c>
    </row>
    <row r="1989" spans="3:15" ht="13.5">
      <c r="C1989" s="1861" t="s">
        <v>5779</v>
      </c>
      <c r="D1989" s="1858">
        <v>0</v>
      </c>
      <c r="E1989" s="1858">
        <v>0</v>
      </c>
      <c r="F1989" s="1859">
        <v>0</v>
      </c>
      <c r="G1989" s="1872" t="s">
        <v>5779</v>
      </c>
      <c r="H1989" s="1856">
        <v>0</v>
      </c>
      <c r="I1989" s="1856" t="s">
        <v>3909</v>
      </c>
      <c r="J1989" s="1873">
        <v>0</v>
      </c>
      <c r="K1989" s="1860"/>
      <c r="L1989" s="1854">
        <v>13237960201</v>
      </c>
      <c r="M1989" s="1855">
        <v>0</v>
      </c>
      <c r="N1989" s="1855">
        <v>0</v>
      </c>
      <c r="O1989" s="1856">
        <v>0</v>
      </c>
    </row>
    <row r="1990" spans="3:15" ht="13.5">
      <c r="C1990" s="1861" t="s">
        <v>5780</v>
      </c>
      <c r="D1990" s="1858">
        <v>0</v>
      </c>
      <c r="E1990" s="1858">
        <v>0</v>
      </c>
      <c r="F1990" s="1859">
        <v>0</v>
      </c>
      <c r="G1990" s="1872" t="s">
        <v>5780</v>
      </c>
      <c r="H1990" s="1856">
        <v>0</v>
      </c>
      <c r="I1990" s="1856">
        <v>0</v>
      </c>
      <c r="J1990" s="1873">
        <v>0</v>
      </c>
      <c r="K1990" s="1860"/>
      <c r="L1990" s="1854">
        <v>13237960202</v>
      </c>
      <c r="M1990" s="1855">
        <v>0</v>
      </c>
      <c r="N1990" s="1855">
        <v>0</v>
      </c>
      <c r="O1990" s="1856">
        <v>0</v>
      </c>
    </row>
    <row r="1991" spans="3:15" ht="13.5">
      <c r="C1991" s="1861" t="s">
        <v>5781</v>
      </c>
      <c r="D1991" s="1858">
        <v>0</v>
      </c>
      <c r="E1991" s="1858">
        <v>1</v>
      </c>
      <c r="F1991" s="1859">
        <v>1</v>
      </c>
      <c r="G1991" s="1872" t="s">
        <v>5781</v>
      </c>
      <c r="H1991" s="1856">
        <v>0</v>
      </c>
      <c r="I1991" s="1856">
        <v>0</v>
      </c>
      <c r="J1991" s="1873">
        <v>0</v>
      </c>
      <c r="K1991" s="1860"/>
      <c r="L1991" s="1854">
        <v>13237960300</v>
      </c>
      <c r="M1991" s="1855">
        <v>0</v>
      </c>
      <c r="N1991" s="1855">
        <v>1</v>
      </c>
      <c r="O1991" s="1856">
        <v>1</v>
      </c>
    </row>
    <row r="1992" spans="3:15" ht="13.5">
      <c r="C1992" s="1861" t="s">
        <v>5782</v>
      </c>
      <c r="D1992" s="1858">
        <v>0</v>
      </c>
      <c r="E1992" s="1858">
        <v>0</v>
      </c>
      <c r="F1992" s="1859">
        <v>0</v>
      </c>
      <c r="G1992" s="1872" t="s">
        <v>5782</v>
      </c>
      <c r="H1992" s="1856">
        <v>0</v>
      </c>
      <c r="I1992" s="1856">
        <v>0</v>
      </c>
      <c r="J1992" s="1873">
        <v>0</v>
      </c>
      <c r="K1992" s="1860"/>
      <c r="L1992" s="1854">
        <v>13239960300</v>
      </c>
      <c r="M1992" s="1855">
        <v>0</v>
      </c>
      <c r="N1992" s="1855">
        <v>0</v>
      </c>
      <c r="O1992" s="1856">
        <v>0</v>
      </c>
    </row>
    <row r="1993" spans="3:15" ht="13.5">
      <c r="C1993" s="1861" t="s">
        <v>5783</v>
      </c>
      <c r="D1993" s="1858">
        <v>0</v>
      </c>
      <c r="E1993" s="1858">
        <v>0</v>
      </c>
      <c r="F1993" s="1859">
        <v>0</v>
      </c>
      <c r="G1993" s="1872" t="s">
        <v>5783</v>
      </c>
      <c r="H1993" s="1856">
        <v>0</v>
      </c>
      <c r="I1993" s="1856">
        <v>1</v>
      </c>
      <c r="J1993" s="1873">
        <v>1</v>
      </c>
      <c r="K1993" s="1860"/>
      <c r="L1993" s="1854">
        <v>13241970100</v>
      </c>
      <c r="M1993" s="1855">
        <v>0</v>
      </c>
      <c r="N1993" s="1855">
        <v>1</v>
      </c>
      <c r="O1993" s="1856">
        <v>1</v>
      </c>
    </row>
    <row r="1994" spans="3:15" ht="13.5">
      <c r="C1994" s="1861" t="s">
        <v>5784</v>
      </c>
      <c r="D1994" s="1858">
        <v>0</v>
      </c>
      <c r="E1994" s="1858">
        <v>0</v>
      </c>
      <c r="F1994" s="1859">
        <v>0</v>
      </c>
      <c r="G1994" s="1872" t="s">
        <v>5784</v>
      </c>
      <c r="H1994" s="1856">
        <v>0</v>
      </c>
      <c r="I1994" s="1856">
        <v>0</v>
      </c>
      <c r="J1994" s="1873">
        <v>0</v>
      </c>
      <c r="K1994" s="1860"/>
      <c r="L1994" s="1854">
        <v>13241970201</v>
      </c>
      <c r="M1994" s="1855">
        <v>0</v>
      </c>
      <c r="N1994" s="1855">
        <v>0</v>
      </c>
      <c r="O1994" s="1856">
        <v>0</v>
      </c>
    </row>
    <row r="1995" spans="3:15" ht="13.5">
      <c r="C1995" s="1861" t="s">
        <v>5785</v>
      </c>
      <c r="D1995" s="1858">
        <v>0</v>
      </c>
      <c r="E1995" s="1858">
        <v>0</v>
      </c>
      <c r="F1995" s="1859">
        <v>0</v>
      </c>
      <c r="G1995" s="1872" t="s">
        <v>5785</v>
      </c>
      <c r="H1995" s="1856">
        <v>0</v>
      </c>
      <c r="I1995" s="1856">
        <v>0</v>
      </c>
      <c r="J1995" s="1873">
        <v>0</v>
      </c>
      <c r="K1995" s="1860"/>
      <c r="L1995" s="1854">
        <v>13241970202</v>
      </c>
      <c r="M1995" s="1855">
        <v>0</v>
      </c>
      <c r="N1995" s="1855">
        <v>0</v>
      </c>
      <c r="O1995" s="1856">
        <v>0</v>
      </c>
    </row>
    <row r="1996" spans="3:15" ht="13.5">
      <c r="C1996" s="1861" t="s">
        <v>5786</v>
      </c>
      <c r="D1996" s="1858">
        <v>0</v>
      </c>
      <c r="E1996" s="1858">
        <v>0</v>
      </c>
      <c r="F1996" s="1859">
        <v>0</v>
      </c>
      <c r="G1996" s="1872" t="s">
        <v>5786</v>
      </c>
      <c r="H1996" s="1856">
        <v>0</v>
      </c>
      <c r="I1996" s="1856">
        <v>1</v>
      </c>
      <c r="J1996" s="1873">
        <v>1</v>
      </c>
      <c r="K1996" s="1860"/>
      <c r="L1996" s="1854">
        <v>13241970301</v>
      </c>
      <c r="M1996" s="1855">
        <v>0</v>
      </c>
      <c r="N1996" s="1855">
        <v>1</v>
      </c>
      <c r="O1996" s="1856">
        <v>1</v>
      </c>
    </row>
    <row r="1997" spans="3:15" ht="13.5">
      <c r="C1997" s="1861" t="s">
        <v>5787</v>
      </c>
      <c r="D1997" s="1858">
        <v>0</v>
      </c>
      <c r="E1997" s="1858">
        <v>0</v>
      </c>
      <c r="F1997" s="1859">
        <v>0</v>
      </c>
      <c r="G1997" s="1872" t="s">
        <v>5787</v>
      </c>
      <c r="H1997" s="1856">
        <v>0</v>
      </c>
      <c r="I1997" s="1856">
        <v>0</v>
      </c>
      <c r="J1997" s="1873">
        <v>0</v>
      </c>
      <c r="K1997" s="1860"/>
      <c r="L1997" s="1854">
        <v>13241970302</v>
      </c>
      <c r="M1997" s="1855">
        <v>0</v>
      </c>
      <c r="N1997" s="1855">
        <v>0</v>
      </c>
      <c r="O1997" s="1856">
        <v>0</v>
      </c>
    </row>
    <row r="1998" spans="3:15" ht="13.5">
      <c r="C1998" s="1861" t="s">
        <v>5788</v>
      </c>
      <c r="D1998" s="1858">
        <v>0</v>
      </c>
      <c r="E1998" s="1858">
        <v>0</v>
      </c>
      <c r="F1998" s="1859">
        <v>0</v>
      </c>
      <c r="G1998" s="1872" t="s">
        <v>5788</v>
      </c>
      <c r="H1998" s="1856">
        <v>0</v>
      </c>
      <c r="I1998" s="1856">
        <v>0</v>
      </c>
      <c r="J1998" s="1873">
        <v>0</v>
      </c>
      <c r="K1998" s="1860"/>
      <c r="L1998" s="1854">
        <v>13243790100</v>
      </c>
      <c r="M1998" s="1855">
        <v>0</v>
      </c>
      <c r="N1998" s="1855">
        <v>0</v>
      </c>
      <c r="O1998" s="1856">
        <v>0</v>
      </c>
    </row>
    <row r="1999" spans="3:15" ht="13.5">
      <c r="C1999" s="1861" t="s">
        <v>5789</v>
      </c>
      <c r="D1999" s="1858">
        <v>0</v>
      </c>
      <c r="E1999" s="1858">
        <v>0</v>
      </c>
      <c r="F1999" s="1859">
        <v>0</v>
      </c>
      <c r="G1999" s="1872" t="s">
        <v>5789</v>
      </c>
      <c r="H1999" s="1856">
        <v>0</v>
      </c>
      <c r="I1999" s="1856">
        <v>0</v>
      </c>
      <c r="J1999" s="1873">
        <v>0</v>
      </c>
      <c r="K1999" s="1860"/>
      <c r="L1999" s="1854">
        <v>13243790200</v>
      </c>
      <c r="M1999" s="1855">
        <v>0</v>
      </c>
      <c r="N1999" s="1855">
        <v>0</v>
      </c>
      <c r="O1999" s="1856">
        <v>0</v>
      </c>
    </row>
    <row r="2000" spans="3:15" ht="13.5">
      <c r="C2000" s="1861" t="s">
        <v>5790</v>
      </c>
      <c r="D2000" s="1858">
        <v>0</v>
      </c>
      <c r="E2000" s="1858">
        <v>0</v>
      </c>
      <c r="F2000" s="1859">
        <v>0</v>
      </c>
      <c r="G2000" s="1872" t="s">
        <v>5790</v>
      </c>
      <c r="H2000" s="1856">
        <v>0</v>
      </c>
      <c r="I2000" s="1856">
        <v>0</v>
      </c>
      <c r="J2000" s="1873">
        <v>0</v>
      </c>
      <c r="K2000" s="1860"/>
      <c r="L2000" s="1854">
        <v>13245000100</v>
      </c>
      <c r="M2000" s="1855">
        <v>0</v>
      </c>
      <c r="N2000" s="1855">
        <v>0</v>
      </c>
      <c r="O2000" s="1856">
        <v>0</v>
      </c>
    </row>
    <row r="2001" spans="3:15" ht="13.5">
      <c r="C2001" s="1861" t="s">
        <v>5791</v>
      </c>
      <c r="D2001" s="1858">
        <v>0</v>
      </c>
      <c r="E2001" s="1858">
        <v>0</v>
      </c>
      <c r="F2001" s="1859">
        <v>0</v>
      </c>
      <c r="G2001" s="1872" t="s">
        <v>5791</v>
      </c>
      <c r="H2001" s="1856">
        <v>0</v>
      </c>
      <c r="I2001" s="1856">
        <v>0</v>
      </c>
      <c r="J2001" s="1873">
        <v>0</v>
      </c>
      <c r="K2001" s="1860"/>
      <c r="L2001" s="1854">
        <v>13245000200</v>
      </c>
      <c r="M2001" s="1855">
        <v>0</v>
      </c>
      <c r="N2001" s="1855">
        <v>0</v>
      </c>
      <c r="O2001" s="1856">
        <v>0</v>
      </c>
    </row>
    <row r="2002" spans="3:15" ht="13.5">
      <c r="C2002" s="1861" t="s">
        <v>5792</v>
      </c>
      <c r="D2002" s="1858">
        <v>0</v>
      </c>
      <c r="E2002" s="1858">
        <v>0</v>
      </c>
      <c r="F2002" s="1859">
        <v>0</v>
      </c>
      <c r="G2002" s="1872" t="s">
        <v>5792</v>
      </c>
      <c r="H2002" s="1856">
        <v>0</v>
      </c>
      <c r="I2002" s="1856">
        <v>0</v>
      </c>
      <c r="J2002" s="1873">
        <v>0</v>
      </c>
      <c r="K2002" s="1860"/>
      <c r="L2002" s="1854">
        <v>13245000300</v>
      </c>
      <c r="M2002" s="1855">
        <v>0</v>
      </c>
      <c r="N2002" s="1855">
        <v>0</v>
      </c>
      <c r="O2002" s="1856">
        <v>0</v>
      </c>
    </row>
    <row r="2003" spans="3:15" ht="13.5">
      <c r="C2003" s="1861" t="s">
        <v>5793</v>
      </c>
      <c r="D2003" s="1858">
        <v>0</v>
      </c>
      <c r="E2003" s="1858">
        <v>0</v>
      </c>
      <c r="F2003" s="1859">
        <v>0</v>
      </c>
      <c r="G2003" s="1872" t="s">
        <v>5793</v>
      </c>
      <c r="H2003" s="1856">
        <v>0</v>
      </c>
      <c r="I2003" s="1856" t="s">
        <v>3909</v>
      </c>
      <c r="J2003" s="1873">
        <v>0</v>
      </c>
      <c r="K2003" s="1860"/>
      <c r="L2003" s="1854">
        <v>13245000600</v>
      </c>
      <c r="M2003" s="1855">
        <v>0</v>
      </c>
      <c r="N2003" s="1855">
        <v>0</v>
      </c>
      <c r="O2003" s="1856">
        <v>0</v>
      </c>
    </row>
    <row r="2004" spans="3:15" ht="13.5">
      <c r="C2004" s="1861" t="s">
        <v>5794</v>
      </c>
      <c r="D2004" s="1858">
        <v>0</v>
      </c>
      <c r="E2004" s="1858">
        <v>0</v>
      </c>
      <c r="F2004" s="1859">
        <v>0</v>
      </c>
      <c r="G2004" s="1872" t="s">
        <v>5794</v>
      </c>
      <c r="H2004" s="1856">
        <v>0</v>
      </c>
      <c r="I2004" s="1856">
        <v>0</v>
      </c>
      <c r="J2004" s="1873">
        <v>0</v>
      </c>
      <c r="K2004" s="1860"/>
      <c r="L2004" s="1854">
        <v>13245000700</v>
      </c>
      <c r="M2004" s="1855">
        <v>0</v>
      </c>
      <c r="N2004" s="1855">
        <v>0</v>
      </c>
      <c r="O2004" s="1856">
        <v>0</v>
      </c>
    </row>
    <row r="2005" spans="3:15" ht="13.5">
      <c r="C2005" s="1861" t="s">
        <v>5795</v>
      </c>
      <c r="D2005" s="1858">
        <v>0</v>
      </c>
      <c r="E2005" s="1858">
        <v>0</v>
      </c>
      <c r="F2005" s="1859">
        <v>0</v>
      </c>
      <c r="G2005" s="1872" t="s">
        <v>5795</v>
      </c>
      <c r="H2005" s="1856">
        <v>0</v>
      </c>
      <c r="I2005" s="1856">
        <v>0</v>
      </c>
      <c r="J2005" s="1873">
        <v>0</v>
      </c>
      <c r="K2005" s="1860"/>
      <c r="L2005" s="1854">
        <v>13245000900</v>
      </c>
      <c r="M2005" s="1855">
        <v>0</v>
      </c>
      <c r="N2005" s="1855">
        <v>0</v>
      </c>
      <c r="O2005" s="1856">
        <v>0</v>
      </c>
    </row>
    <row r="2006" spans="3:15" ht="13.5">
      <c r="C2006" s="1861" t="s">
        <v>5796</v>
      </c>
      <c r="D2006" s="1858">
        <v>0</v>
      </c>
      <c r="E2006" s="1858">
        <v>0</v>
      </c>
      <c r="F2006" s="1859">
        <v>0</v>
      </c>
      <c r="G2006" s="1872" t="s">
        <v>5796</v>
      </c>
      <c r="H2006" s="1856">
        <v>0</v>
      </c>
      <c r="I2006" s="1856">
        <v>0</v>
      </c>
      <c r="J2006" s="1873">
        <v>0</v>
      </c>
      <c r="K2006" s="1860"/>
      <c r="L2006" s="1854">
        <v>13245001000</v>
      </c>
      <c r="M2006" s="1855">
        <v>0</v>
      </c>
      <c r="N2006" s="1855">
        <v>0</v>
      </c>
      <c r="O2006" s="1856">
        <v>0</v>
      </c>
    </row>
    <row r="2007" spans="3:15" ht="13.5">
      <c r="C2007" s="1861" t="s">
        <v>5797</v>
      </c>
      <c r="D2007" s="1858">
        <v>1</v>
      </c>
      <c r="E2007" s="1858">
        <v>1</v>
      </c>
      <c r="F2007" s="1859">
        <v>2</v>
      </c>
      <c r="G2007" s="1872" t="s">
        <v>5797</v>
      </c>
      <c r="H2007" s="1856">
        <v>1</v>
      </c>
      <c r="I2007" s="1856" t="s">
        <v>3909</v>
      </c>
      <c r="J2007" s="1873">
        <v>1</v>
      </c>
      <c r="K2007" s="1860"/>
      <c r="L2007" s="1854">
        <v>13245001100</v>
      </c>
      <c r="M2007" s="1855">
        <v>1</v>
      </c>
      <c r="N2007" s="1855">
        <v>1</v>
      </c>
      <c r="O2007" s="1856">
        <v>2</v>
      </c>
    </row>
    <row r="2008" spans="3:15" ht="13.5">
      <c r="C2008" s="1861" t="s">
        <v>5798</v>
      </c>
      <c r="D2008" s="1858">
        <v>0</v>
      </c>
      <c r="E2008" s="1858">
        <v>0</v>
      </c>
      <c r="F2008" s="1859">
        <v>0</v>
      </c>
      <c r="G2008" s="1872" t="s">
        <v>5798</v>
      </c>
      <c r="H2008" s="1856">
        <v>0</v>
      </c>
      <c r="I2008" s="1856">
        <v>0</v>
      </c>
      <c r="J2008" s="1873">
        <v>0</v>
      </c>
      <c r="K2008" s="1860"/>
      <c r="L2008" s="1854">
        <v>13245001200</v>
      </c>
      <c r="M2008" s="1855">
        <v>0</v>
      </c>
      <c r="N2008" s="1855">
        <v>0</v>
      </c>
      <c r="O2008" s="1856">
        <v>0</v>
      </c>
    </row>
    <row r="2009" spans="3:15" ht="13.5">
      <c r="C2009" s="1861" t="s">
        <v>5799</v>
      </c>
      <c r="D2009" s="1858">
        <v>0</v>
      </c>
      <c r="E2009" s="1858">
        <v>0</v>
      </c>
      <c r="F2009" s="1859">
        <v>0</v>
      </c>
      <c r="G2009" s="1872" t="s">
        <v>5799</v>
      </c>
      <c r="H2009" s="1856">
        <v>0</v>
      </c>
      <c r="I2009" s="1856">
        <v>0</v>
      </c>
      <c r="J2009" s="1873">
        <v>0</v>
      </c>
      <c r="K2009" s="1860"/>
      <c r="L2009" s="1854">
        <v>13245001300</v>
      </c>
      <c r="M2009" s="1855">
        <v>0</v>
      </c>
      <c r="N2009" s="1855">
        <v>0</v>
      </c>
      <c r="O2009" s="1856">
        <v>0</v>
      </c>
    </row>
    <row r="2010" spans="3:15" ht="13.5">
      <c r="C2010" s="1861" t="s">
        <v>5800</v>
      </c>
      <c r="D2010" s="1858">
        <v>0</v>
      </c>
      <c r="E2010" s="1858">
        <v>0</v>
      </c>
      <c r="F2010" s="1859">
        <v>0</v>
      </c>
      <c r="G2010" s="1872" t="s">
        <v>5800</v>
      </c>
      <c r="H2010" s="1856">
        <v>0</v>
      </c>
      <c r="I2010" s="1856">
        <v>0</v>
      </c>
      <c r="J2010" s="1873">
        <v>0</v>
      </c>
      <c r="K2010" s="1860"/>
      <c r="L2010" s="1854">
        <v>13245001400</v>
      </c>
      <c r="M2010" s="1855">
        <v>0</v>
      </c>
      <c r="N2010" s="1855">
        <v>0</v>
      </c>
      <c r="O2010" s="1856">
        <v>0</v>
      </c>
    </row>
    <row r="2011" spans="3:15" ht="13.5">
      <c r="C2011" s="1861" t="s">
        <v>5801</v>
      </c>
      <c r="D2011" s="1858">
        <v>0</v>
      </c>
      <c r="E2011" s="1858">
        <v>0</v>
      </c>
      <c r="F2011" s="1859">
        <v>0</v>
      </c>
      <c r="G2011" s="1872" t="s">
        <v>5801</v>
      </c>
      <c r="H2011" s="1856">
        <v>0</v>
      </c>
      <c r="I2011" s="1856" t="s">
        <v>3909</v>
      </c>
      <c r="J2011" s="1873">
        <v>0</v>
      </c>
      <c r="K2011" s="1860"/>
      <c r="L2011" s="1854">
        <v>13245001500</v>
      </c>
      <c r="M2011" s="1855">
        <v>0</v>
      </c>
      <c r="N2011" s="1855">
        <v>0</v>
      </c>
      <c r="O2011" s="1856">
        <v>0</v>
      </c>
    </row>
    <row r="2012" spans="3:15" ht="13.5">
      <c r="C2012" s="1861" t="s">
        <v>5802</v>
      </c>
      <c r="D2012" s="1858">
        <v>0</v>
      </c>
      <c r="E2012" s="1858">
        <v>0</v>
      </c>
      <c r="F2012" s="1859">
        <v>0</v>
      </c>
      <c r="G2012" s="1872" t="s">
        <v>5802</v>
      </c>
      <c r="H2012" s="1856">
        <v>0</v>
      </c>
      <c r="I2012" s="1856">
        <v>0</v>
      </c>
      <c r="J2012" s="1873">
        <v>0</v>
      </c>
      <c r="K2012" s="1860"/>
      <c r="L2012" s="1854">
        <v>13245001601</v>
      </c>
      <c r="M2012" s="1855">
        <v>0</v>
      </c>
      <c r="N2012" s="1855">
        <v>0</v>
      </c>
      <c r="O2012" s="1856">
        <v>0</v>
      </c>
    </row>
    <row r="2013" spans="3:15" ht="13.5">
      <c r="C2013" s="1861" t="s">
        <v>5803</v>
      </c>
      <c r="D2013" s="1858">
        <v>1</v>
      </c>
      <c r="E2013" s="1858">
        <v>1</v>
      </c>
      <c r="F2013" s="1859">
        <v>2</v>
      </c>
      <c r="G2013" s="1872" t="s">
        <v>5803</v>
      </c>
      <c r="H2013" s="1856">
        <v>1</v>
      </c>
      <c r="I2013" s="1856">
        <v>1</v>
      </c>
      <c r="J2013" s="1873">
        <v>2</v>
      </c>
      <c r="K2013" s="1860"/>
      <c r="L2013" s="1854">
        <v>13245001602</v>
      </c>
      <c r="M2013" s="1855">
        <v>1</v>
      </c>
      <c r="N2013" s="1855">
        <v>1</v>
      </c>
      <c r="O2013" s="1856">
        <v>2</v>
      </c>
    </row>
    <row r="2014" spans="3:15" ht="13.5">
      <c r="C2014" s="1861" t="s">
        <v>5804</v>
      </c>
      <c r="D2014" s="1858">
        <v>0</v>
      </c>
      <c r="E2014" s="1858">
        <v>0</v>
      </c>
      <c r="F2014" s="1859">
        <v>0</v>
      </c>
      <c r="G2014" s="1872" t="s">
        <v>5804</v>
      </c>
      <c r="H2014" s="1856">
        <v>1</v>
      </c>
      <c r="I2014" s="1856">
        <v>0</v>
      </c>
      <c r="J2014" s="1873">
        <v>1</v>
      </c>
      <c r="K2014" s="1860"/>
      <c r="L2014" s="1854">
        <v>13245010101</v>
      </c>
      <c r="M2014" s="1855">
        <v>1</v>
      </c>
      <c r="N2014" s="1855">
        <v>0</v>
      </c>
      <c r="O2014" s="1856">
        <v>1</v>
      </c>
    </row>
    <row r="2015" spans="3:15" ht="13.5">
      <c r="C2015" s="1861" t="s">
        <v>5805</v>
      </c>
      <c r="D2015" s="1858">
        <v>1</v>
      </c>
      <c r="E2015" s="1858">
        <v>1</v>
      </c>
      <c r="F2015" s="1859">
        <v>2</v>
      </c>
      <c r="G2015" s="1872" t="s">
        <v>5805</v>
      </c>
      <c r="H2015" s="1856">
        <v>1</v>
      </c>
      <c r="I2015" s="1856">
        <v>0</v>
      </c>
      <c r="J2015" s="1873">
        <v>1</v>
      </c>
      <c r="K2015" s="1860"/>
      <c r="L2015" s="1854">
        <v>13245010104</v>
      </c>
      <c r="M2015" s="1855">
        <v>1</v>
      </c>
      <c r="N2015" s="1855">
        <v>1</v>
      </c>
      <c r="O2015" s="1856">
        <v>2</v>
      </c>
    </row>
    <row r="2016" spans="3:15" ht="13.5">
      <c r="C2016" s="1861" t="s">
        <v>5806</v>
      </c>
      <c r="D2016" s="1858">
        <v>0</v>
      </c>
      <c r="E2016" s="1858">
        <v>0</v>
      </c>
      <c r="F2016" s="1859">
        <v>0</v>
      </c>
      <c r="G2016" s="1872" t="s">
        <v>5806</v>
      </c>
      <c r="H2016" s="1856">
        <v>0</v>
      </c>
      <c r="I2016" s="1856">
        <v>0</v>
      </c>
      <c r="J2016" s="1873">
        <v>0</v>
      </c>
      <c r="K2016" s="1860"/>
      <c r="L2016" s="1854">
        <v>13245010105</v>
      </c>
      <c r="M2016" s="1855">
        <v>0</v>
      </c>
      <c r="N2016" s="1855">
        <v>0</v>
      </c>
      <c r="O2016" s="1856">
        <v>0</v>
      </c>
    </row>
    <row r="2017" spans="3:15" ht="13.5">
      <c r="C2017" s="1861" t="s">
        <v>5807</v>
      </c>
      <c r="D2017" s="1858">
        <v>1</v>
      </c>
      <c r="E2017" s="1858">
        <v>0</v>
      </c>
      <c r="F2017" s="1859">
        <v>1</v>
      </c>
      <c r="G2017" s="1872" t="s">
        <v>5807</v>
      </c>
      <c r="H2017" s="1856">
        <v>1</v>
      </c>
      <c r="I2017" s="1856">
        <v>1</v>
      </c>
      <c r="J2017" s="1873">
        <v>2</v>
      </c>
      <c r="K2017" s="1860"/>
      <c r="L2017" s="1854">
        <v>13245010106</v>
      </c>
      <c r="M2017" s="1855">
        <v>1</v>
      </c>
      <c r="N2017" s="1855">
        <v>1</v>
      </c>
      <c r="O2017" s="1856">
        <v>2</v>
      </c>
    </row>
    <row r="2018" spans="3:15" ht="13.5">
      <c r="C2018" s="1861" t="s">
        <v>5808</v>
      </c>
      <c r="D2018" s="1858">
        <v>1</v>
      </c>
      <c r="E2018" s="1858">
        <v>0</v>
      </c>
      <c r="F2018" s="1859">
        <v>1</v>
      </c>
      <c r="G2018" s="1872" t="s">
        <v>5808</v>
      </c>
      <c r="H2018" s="1856">
        <v>1</v>
      </c>
      <c r="I2018" s="1856">
        <v>1</v>
      </c>
      <c r="J2018" s="1873">
        <v>2</v>
      </c>
      <c r="K2018" s="1860"/>
      <c r="L2018" s="1854">
        <v>13245010107</v>
      </c>
      <c r="M2018" s="1855">
        <v>1</v>
      </c>
      <c r="N2018" s="1855">
        <v>1</v>
      </c>
      <c r="O2018" s="1856">
        <v>2</v>
      </c>
    </row>
    <row r="2019" spans="3:15" ht="13.5">
      <c r="C2019" s="1861" t="s">
        <v>5809</v>
      </c>
      <c r="D2019" s="1858">
        <v>1</v>
      </c>
      <c r="E2019" s="1858">
        <v>1</v>
      </c>
      <c r="F2019" s="1859">
        <v>2</v>
      </c>
      <c r="G2019" s="1872" t="s">
        <v>5809</v>
      </c>
      <c r="H2019" s="1856">
        <v>1</v>
      </c>
      <c r="I2019" s="1856">
        <v>1</v>
      </c>
      <c r="J2019" s="1873">
        <v>2</v>
      </c>
      <c r="K2019" s="1860"/>
      <c r="L2019" s="1854">
        <v>13245010201</v>
      </c>
      <c r="M2019" s="1855">
        <v>1</v>
      </c>
      <c r="N2019" s="1855">
        <v>1</v>
      </c>
      <c r="O2019" s="1856">
        <v>2</v>
      </c>
    </row>
    <row r="2020" spans="3:15" ht="13.5">
      <c r="C2020" s="1861" t="s">
        <v>5810</v>
      </c>
      <c r="D2020" s="1858">
        <v>0</v>
      </c>
      <c r="E2020" s="1858">
        <v>0</v>
      </c>
      <c r="F2020" s="1859">
        <v>0</v>
      </c>
      <c r="G2020" s="1872" t="s">
        <v>5810</v>
      </c>
      <c r="H2020" s="1856">
        <v>0</v>
      </c>
      <c r="I2020" s="1856">
        <v>0</v>
      </c>
      <c r="J2020" s="1873">
        <v>0</v>
      </c>
      <c r="K2020" s="1860"/>
      <c r="L2020" s="1854">
        <v>13245010203</v>
      </c>
      <c r="M2020" s="1855">
        <v>0</v>
      </c>
      <c r="N2020" s="1855">
        <v>0</v>
      </c>
      <c r="O2020" s="1856">
        <v>0</v>
      </c>
    </row>
    <row r="2021" spans="3:15" ht="13.5">
      <c r="C2021" s="1861" t="s">
        <v>5811</v>
      </c>
      <c r="D2021" s="1858">
        <v>0</v>
      </c>
      <c r="E2021" s="1858">
        <v>0</v>
      </c>
      <c r="F2021" s="1859">
        <v>0</v>
      </c>
      <c r="G2021" s="1872" t="s">
        <v>5811</v>
      </c>
      <c r="H2021" s="1856">
        <v>0</v>
      </c>
      <c r="I2021" s="1856">
        <v>0</v>
      </c>
      <c r="J2021" s="1873">
        <v>0</v>
      </c>
      <c r="K2021" s="1860"/>
      <c r="L2021" s="1854">
        <v>13245010204</v>
      </c>
      <c r="M2021" s="1855">
        <v>0</v>
      </c>
      <c r="N2021" s="1855">
        <v>0</v>
      </c>
      <c r="O2021" s="1856">
        <v>0</v>
      </c>
    </row>
    <row r="2022" spans="3:15" ht="13.5">
      <c r="C2022" s="1861" t="s">
        <v>5812</v>
      </c>
      <c r="D2022" s="1858">
        <v>0</v>
      </c>
      <c r="E2022" s="1858">
        <v>0</v>
      </c>
      <c r="F2022" s="1859">
        <v>0</v>
      </c>
      <c r="G2022" s="1872" t="s">
        <v>5812</v>
      </c>
      <c r="H2022" s="1856">
        <v>0</v>
      </c>
      <c r="I2022" s="1856">
        <v>0</v>
      </c>
      <c r="J2022" s="1873">
        <v>0</v>
      </c>
      <c r="K2022" s="1860"/>
      <c r="L2022" s="1854">
        <v>13245010300</v>
      </c>
      <c r="M2022" s="1855">
        <v>0</v>
      </c>
      <c r="N2022" s="1855">
        <v>0</v>
      </c>
      <c r="O2022" s="1856">
        <v>0</v>
      </c>
    </row>
    <row r="2023" spans="3:15" ht="13.5">
      <c r="C2023" s="1861" t="s">
        <v>5813</v>
      </c>
      <c r="D2023" s="1858">
        <v>0</v>
      </c>
      <c r="E2023" s="1858">
        <v>0</v>
      </c>
      <c r="F2023" s="1859">
        <v>0</v>
      </c>
      <c r="G2023" s="1872" t="s">
        <v>5813</v>
      </c>
      <c r="H2023" s="1856">
        <v>0</v>
      </c>
      <c r="I2023" s="1856">
        <v>0</v>
      </c>
      <c r="J2023" s="1873">
        <v>0</v>
      </c>
      <c r="K2023" s="1860"/>
      <c r="L2023" s="1854">
        <v>13245010400</v>
      </c>
      <c r="M2023" s="1855">
        <v>0</v>
      </c>
      <c r="N2023" s="1855">
        <v>0</v>
      </c>
      <c r="O2023" s="1856">
        <v>0</v>
      </c>
    </row>
    <row r="2024" spans="3:15" ht="13.5">
      <c r="C2024" s="1861" t="s">
        <v>5814</v>
      </c>
      <c r="D2024" s="1858">
        <v>0</v>
      </c>
      <c r="E2024" s="1858">
        <v>0</v>
      </c>
      <c r="F2024" s="1859">
        <v>0</v>
      </c>
      <c r="G2024" s="1872" t="s">
        <v>5814</v>
      </c>
      <c r="H2024" s="1856">
        <v>0</v>
      </c>
      <c r="I2024" s="1856">
        <v>0</v>
      </c>
      <c r="J2024" s="1873">
        <v>0</v>
      </c>
      <c r="K2024" s="1860"/>
      <c r="L2024" s="1854">
        <v>13245010504</v>
      </c>
      <c r="M2024" s="1855">
        <v>0</v>
      </c>
      <c r="N2024" s="1855">
        <v>0</v>
      </c>
      <c r="O2024" s="1856">
        <v>0</v>
      </c>
    </row>
    <row r="2025" spans="3:15" ht="13.5">
      <c r="C2025" s="1861" t="s">
        <v>5815</v>
      </c>
      <c r="D2025" s="1858">
        <v>0</v>
      </c>
      <c r="E2025" s="1858">
        <v>0</v>
      </c>
      <c r="F2025" s="1859">
        <v>0</v>
      </c>
      <c r="G2025" s="1872" t="s">
        <v>5815</v>
      </c>
      <c r="H2025" s="1856">
        <v>0</v>
      </c>
      <c r="I2025" s="1856">
        <v>1</v>
      </c>
      <c r="J2025" s="1873">
        <v>1</v>
      </c>
      <c r="K2025" s="1860"/>
      <c r="L2025" s="1854">
        <v>13245010506</v>
      </c>
      <c r="M2025" s="1855">
        <v>0</v>
      </c>
      <c r="N2025" s="1855">
        <v>1</v>
      </c>
      <c r="O2025" s="1856">
        <v>1</v>
      </c>
    </row>
    <row r="2026" spans="3:15" ht="13.5">
      <c r="C2026" s="1861" t="s">
        <v>5816</v>
      </c>
      <c r="D2026" s="1858">
        <v>0</v>
      </c>
      <c r="E2026" s="1858">
        <v>0</v>
      </c>
      <c r="F2026" s="1859">
        <v>0</v>
      </c>
      <c r="G2026" s="1872" t="s">
        <v>5816</v>
      </c>
      <c r="H2026" s="1856">
        <v>0</v>
      </c>
      <c r="I2026" s="1856">
        <v>0</v>
      </c>
      <c r="J2026" s="1873">
        <v>0</v>
      </c>
      <c r="K2026" s="1860"/>
      <c r="L2026" s="1854">
        <v>13245010507</v>
      </c>
      <c r="M2026" s="1855">
        <v>0</v>
      </c>
      <c r="N2026" s="1855">
        <v>0</v>
      </c>
      <c r="O2026" s="1856">
        <v>0</v>
      </c>
    </row>
    <row r="2027" spans="3:15" ht="13.5">
      <c r="C2027" s="1861" t="s">
        <v>5817</v>
      </c>
      <c r="D2027" s="1858">
        <v>0</v>
      </c>
      <c r="E2027" s="1858">
        <v>0</v>
      </c>
      <c r="F2027" s="1859">
        <v>0</v>
      </c>
      <c r="G2027" s="1872" t="s">
        <v>5817</v>
      </c>
      <c r="H2027" s="1856">
        <v>0</v>
      </c>
      <c r="I2027" s="1856">
        <v>0</v>
      </c>
      <c r="J2027" s="1873">
        <v>0</v>
      </c>
      <c r="K2027" s="1860"/>
      <c r="L2027" s="1854">
        <v>13245010508</v>
      </c>
      <c r="M2027" s="1855">
        <v>0</v>
      </c>
      <c r="N2027" s="1855">
        <v>0</v>
      </c>
      <c r="O2027" s="1856">
        <v>0</v>
      </c>
    </row>
    <row r="2028" spans="3:15" ht="13.5">
      <c r="C2028" s="1861" t="s">
        <v>5818</v>
      </c>
      <c r="D2028" s="1858">
        <v>0</v>
      </c>
      <c r="E2028" s="1858">
        <v>0</v>
      </c>
      <c r="F2028" s="1859">
        <v>0</v>
      </c>
      <c r="G2028" s="1872" t="s">
        <v>5818</v>
      </c>
      <c r="H2028" s="1856">
        <v>0</v>
      </c>
      <c r="I2028" s="1856">
        <v>0</v>
      </c>
      <c r="J2028" s="1873">
        <v>0</v>
      </c>
      <c r="K2028" s="1860"/>
      <c r="L2028" s="1854">
        <v>13245010509</v>
      </c>
      <c r="M2028" s="1855">
        <v>0</v>
      </c>
      <c r="N2028" s="1855">
        <v>0</v>
      </c>
      <c r="O2028" s="1856">
        <v>0</v>
      </c>
    </row>
    <row r="2029" spans="3:15" ht="13.5">
      <c r="C2029" s="1861" t="s">
        <v>5819</v>
      </c>
      <c r="D2029" s="1858">
        <v>0</v>
      </c>
      <c r="E2029" s="1858">
        <v>0</v>
      </c>
      <c r="F2029" s="1859">
        <v>0</v>
      </c>
      <c r="G2029" s="1872" t="s">
        <v>5819</v>
      </c>
      <c r="H2029" s="1856">
        <v>0</v>
      </c>
      <c r="I2029" s="1856">
        <v>0</v>
      </c>
      <c r="J2029" s="1873">
        <v>0</v>
      </c>
      <c r="K2029" s="1860"/>
      <c r="L2029" s="1854">
        <v>13245010510</v>
      </c>
      <c r="M2029" s="1855">
        <v>0</v>
      </c>
      <c r="N2029" s="1855">
        <v>0</v>
      </c>
      <c r="O2029" s="1856">
        <v>0</v>
      </c>
    </row>
    <row r="2030" spans="3:15" ht="13.5">
      <c r="C2030" s="1861" t="s">
        <v>5820</v>
      </c>
      <c r="D2030" s="1858">
        <v>0</v>
      </c>
      <c r="E2030" s="1858">
        <v>0</v>
      </c>
      <c r="F2030" s="1859">
        <v>0</v>
      </c>
      <c r="G2030" s="1872" t="s">
        <v>5820</v>
      </c>
      <c r="H2030" s="1856">
        <v>0</v>
      </c>
      <c r="I2030" s="1856">
        <v>0</v>
      </c>
      <c r="J2030" s="1873">
        <v>0</v>
      </c>
      <c r="K2030" s="1860"/>
      <c r="L2030" s="1854">
        <v>13245010511</v>
      </c>
      <c r="M2030" s="1855">
        <v>0</v>
      </c>
      <c r="N2030" s="1855">
        <v>0</v>
      </c>
      <c r="O2030" s="1856">
        <v>0</v>
      </c>
    </row>
    <row r="2031" spans="3:15" ht="13.5">
      <c r="C2031" s="1861" t="s">
        <v>5821</v>
      </c>
      <c r="D2031" s="1858">
        <v>0</v>
      </c>
      <c r="E2031" s="1858">
        <v>0</v>
      </c>
      <c r="F2031" s="1859">
        <v>0</v>
      </c>
      <c r="G2031" s="1872" t="s">
        <v>5821</v>
      </c>
      <c r="H2031" s="1856">
        <v>0</v>
      </c>
      <c r="I2031" s="1856">
        <v>0</v>
      </c>
      <c r="J2031" s="1873">
        <v>0</v>
      </c>
      <c r="K2031" s="1860"/>
      <c r="L2031" s="1854">
        <v>13245010512</v>
      </c>
      <c r="M2031" s="1855">
        <v>0</v>
      </c>
      <c r="N2031" s="1855">
        <v>0</v>
      </c>
      <c r="O2031" s="1856">
        <v>0</v>
      </c>
    </row>
    <row r="2032" spans="3:15" ht="13.5">
      <c r="C2032" s="1861" t="s">
        <v>5822</v>
      </c>
      <c r="D2032" s="1858">
        <v>0</v>
      </c>
      <c r="E2032" s="1858">
        <v>0</v>
      </c>
      <c r="F2032" s="1859">
        <v>0</v>
      </c>
      <c r="G2032" s="1872" t="s">
        <v>5822</v>
      </c>
      <c r="H2032" s="1856">
        <v>0</v>
      </c>
      <c r="I2032" s="1856" t="s">
        <v>3909</v>
      </c>
      <c r="J2032" s="1873">
        <v>0</v>
      </c>
      <c r="K2032" s="1860"/>
      <c r="L2032" s="1854">
        <v>13245010513</v>
      </c>
      <c r="M2032" s="1855">
        <v>0</v>
      </c>
      <c r="N2032" s="1855">
        <v>0</v>
      </c>
      <c r="O2032" s="1856">
        <v>0</v>
      </c>
    </row>
    <row r="2033" spans="3:15" ht="13.5">
      <c r="C2033" s="1861" t="s">
        <v>5823</v>
      </c>
      <c r="D2033" s="1858">
        <v>0</v>
      </c>
      <c r="E2033" s="1858">
        <v>0</v>
      </c>
      <c r="F2033" s="1859">
        <v>0</v>
      </c>
      <c r="G2033" s="1872" t="s">
        <v>5823</v>
      </c>
      <c r="H2033" s="1856">
        <v>0</v>
      </c>
      <c r="I2033" s="1856">
        <v>0</v>
      </c>
      <c r="J2033" s="1873">
        <v>0</v>
      </c>
      <c r="K2033" s="1860"/>
      <c r="L2033" s="1854">
        <v>13245010600</v>
      </c>
      <c r="M2033" s="1855">
        <v>0</v>
      </c>
      <c r="N2033" s="1855">
        <v>0</v>
      </c>
      <c r="O2033" s="1856">
        <v>0</v>
      </c>
    </row>
    <row r="2034" spans="3:15" ht="13.5">
      <c r="C2034" s="1861" t="s">
        <v>5824</v>
      </c>
      <c r="D2034" s="1858">
        <v>0</v>
      </c>
      <c r="E2034" s="1858">
        <v>0</v>
      </c>
      <c r="F2034" s="1859">
        <v>0</v>
      </c>
      <c r="G2034" s="1872" t="s">
        <v>5824</v>
      </c>
      <c r="H2034" s="1856">
        <v>0</v>
      </c>
      <c r="I2034" s="1856">
        <v>0</v>
      </c>
      <c r="J2034" s="1873">
        <v>0</v>
      </c>
      <c r="K2034" s="1860"/>
      <c r="L2034" s="1854">
        <v>13245010706</v>
      </c>
      <c r="M2034" s="1855">
        <v>0</v>
      </c>
      <c r="N2034" s="1855">
        <v>0</v>
      </c>
      <c r="O2034" s="1856">
        <v>0</v>
      </c>
    </row>
    <row r="2035" spans="3:15" ht="13.5">
      <c r="C2035" s="1861" t="s">
        <v>5825</v>
      </c>
      <c r="D2035" s="1858">
        <v>0</v>
      </c>
      <c r="E2035" s="1858">
        <v>0</v>
      </c>
      <c r="F2035" s="1859">
        <v>0</v>
      </c>
      <c r="G2035" s="1872" t="s">
        <v>5825</v>
      </c>
      <c r="H2035" s="1856">
        <v>0</v>
      </c>
      <c r="I2035" s="1856">
        <v>0</v>
      </c>
      <c r="J2035" s="1873">
        <v>0</v>
      </c>
      <c r="K2035" s="1860"/>
      <c r="L2035" s="1854">
        <v>13245010707</v>
      </c>
      <c r="M2035" s="1855">
        <v>0</v>
      </c>
      <c r="N2035" s="1855">
        <v>0</v>
      </c>
      <c r="O2035" s="1856">
        <v>0</v>
      </c>
    </row>
    <row r="2036" spans="3:15" ht="13.5">
      <c r="C2036" s="1861" t="s">
        <v>5826</v>
      </c>
      <c r="D2036" s="1858">
        <v>0</v>
      </c>
      <c r="E2036" s="1858">
        <v>0</v>
      </c>
      <c r="F2036" s="1859">
        <v>0</v>
      </c>
      <c r="G2036" s="1872" t="s">
        <v>5826</v>
      </c>
      <c r="H2036" s="1856">
        <v>0</v>
      </c>
      <c r="I2036" s="1856">
        <v>1</v>
      </c>
      <c r="J2036" s="1873">
        <v>1</v>
      </c>
      <c r="K2036" s="1860"/>
      <c r="L2036" s="1854">
        <v>13245010708</v>
      </c>
      <c r="M2036" s="1855">
        <v>0</v>
      </c>
      <c r="N2036" s="1855">
        <v>1</v>
      </c>
      <c r="O2036" s="1856">
        <v>1</v>
      </c>
    </row>
    <row r="2037" spans="3:15" ht="13.5">
      <c r="C2037" s="1861" t="s">
        <v>5827</v>
      </c>
      <c r="D2037" s="1858">
        <v>1</v>
      </c>
      <c r="E2037" s="1858">
        <v>0</v>
      </c>
      <c r="F2037" s="1859">
        <v>1</v>
      </c>
      <c r="G2037" s="1872" t="s">
        <v>5827</v>
      </c>
      <c r="H2037" s="1856">
        <v>1</v>
      </c>
      <c r="I2037" s="1856">
        <v>1</v>
      </c>
      <c r="J2037" s="1873">
        <v>2</v>
      </c>
      <c r="K2037" s="1860"/>
      <c r="L2037" s="1854">
        <v>13245010709</v>
      </c>
      <c r="M2037" s="1855">
        <v>1</v>
      </c>
      <c r="N2037" s="1855">
        <v>1</v>
      </c>
      <c r="O2037" s="1856">
        <v>2</v>
      </c>
    </row>
    <row r="2038" spans="3:15" ht="13.5">
      <c r="C2038" s="1861" t="s">
        <v>5828</v>
      </c>
      <c r="D2038" s="1858">
        <v>0</v>
      </c>
      <c r="E2038" s="1858">
        <v>0</v>
      </c>
      <c r="F2038" s="1859">
        <v>0</v>
      </c>
      <c r="G2038" s="1872" t="s">
        <v>5828</v>
      </c>
      <c r="H2038" s="1856">
        <v>0</v>
      </c>
      <c r="I2038" s="1856" t="s">
        <v>3909</v>
      </c>
      <c r="J2038" s="1873">
        <v>0</v>
      </c>
      <c r="K2038" s="1860"/>
      <c r="L2038" s="1854">
        <v>13245010710</v>
      </c>
      <c r="M2038" s="1855">
        <v>0</v>
      </c>
      <c r="N2038" s="1855">
        <v>0</v>
      </c>
      <c r="O2038" s="1856">
        <v>0</v>
      </c>
    </row>
    <row r="2039" spans="3:15" ht="13.5">
      <c r="C2039" s="1861" t="s">
        <v>5829</v>
      </c>
      <c r="D2039" s="1858">
        <v>0</v>
      </c>
      <c r="E2039" s="1858">
        <v>0</v>
      </c>
      <c r="F2039" s="1859">
        <v>0</v>
      </c>
      <c r="G2039" s="1872" t="s">
        <v>5829</v>
      </c>
      <c r="H2039" s="1856">
        <v>0</v>
      </c>
      <c r="I2039" s="1856">
        <v>0</v>
      </c>
      <c r="J2039" s="1873">
        <v>0</v>
      </c>
      <c r="K2039" s="1860"/>
      <c r="L2039" s="1854">
        <v>13245010711</v>
      </c>
      <c r="M2039" s="1855">
        <v>0</v>
      </c>
      <c r="N2039" s="1855">
        <v>0</v>
      </c>
      <c r="O2039" s="1856">
        <v>0</v>
      </c>
    </row>
    <row r="2040" spans="3:15" ht="13.5">
      <c r="C2040" s="1861" t="s">
        <v>5830</v>
      </c>
      <c r="D2040" s="1858">
        <v>0</v>
      </c>
      <c r="E2040" s="1858">
        <v>0</v>
      </c>
      <c r="F2040" s="1859">
        <v>0</v>
      </c>
      <c r="G2040" s="1872" t="s">
        <v>5830</v>
      </c>
      <c r="H2040" s="1856">
        <v>0</v>
      </c>
      <c r="I2040" s="1856">
        <v>0</v>
      </c>
      <c r="J2040" s="1873">
        <v>0</v>
      </c>
      <c r="K2040" s="1860"/>
      <c r="L2040" s="1854">
        <v>13245010712</v>
      </c>
      <c r="M2040" s="1855">
        <v>0</v>
      </c>
      <c r="N2040" s="1855">
        <v>0</v>
      </c>
      <c r="O2040" s="1856">
        <v>0</v>
      </c>
    </row>
    <row r="2041" spans="3:15" ht="13.5">
      <c r="C2041" s="1861" t="s">
        <v>5831</v>
      </c>
      <c r="D2041" s="1858">
        <v>0</v>
      </c>
      <c r="E2041" s="1858">
        <v>1</v>
      </c>
      <c r="F2041" s="1859">
        <v>1</v>
      </c>
      <c r="G2041" s="1872" t="s">
        <v>5831</v>
      </c>
      <c r="H2041" s="1856">
        <v>0</v>
      </c>
      <c r="I2041" s="1856" t="s">
        <v>3909</v>
      </c>
      <c r="J2041" s="1873">
        <v>0</v>
      </c>
      <c r="K2041" s="1860"/>
      <c r="L2041" s="1854">
        <v>13245010800</v>
      </c>
      <c r="M2041" s="1855">
        <v>0</v>
      </c>
      <c r="N2041" s="1855">
        <v>1</v>
      </c>
      <c r="O2041" s="1856">
        <v>1</v>
      </c>
    </row>
    <row r="2042" spans="3:15" ht="13.5">
      <c r="C2042" s="1861" t="s">
        <v>5832</v>
      </c>
      <c r="D2042" s="1858">
        <v>0</v>
      </c>
      <c r="E2042" s="1858">
        <v>0</v>
      </c>
      <c r="F2042" s="1859">
        <v>0</v>
      </c>
      <c r="G2042" s="1872" t="s">
        <v>5832</v>
      </c>
      <c r="H2042" s="1856">
        <v>0</v>
      </c>
      <c r="I2042" s="1856">
        <v>0</v>
      </c>
      <c r="J2042" s="1873">
        <v>0</v>
      </c>
      <c r="K2042" s="1860"/>
      <c r="L2042" s="1854">
        <v>13245010903</v>
      </c>
      <c r="M2042" s="1855">
        <v>0</v>
      </c>
      <c r="N2042" s="1855">
        <v>0</v>
      </c>
      <c r="O2042" s="1856">
        <v>0</v>
      </c>
    </row>
    <row r="2043" spans="3:15" ht="13.5">
      <c r="C2043" s="1861" t="s">
        <v>5833</v>
      </c>
      <c r="D2043" s="1858">
        <v>0</v>
      </c>
      <c r="E2043" s="1858">
        <v>0</v>
      </c>
      <c r="F2043" s="1859">
        <v>0</v>
      </c>
      <c r="G2043" s="1872" t="s">
        <v>5833</v>
      </c>
      <c r="H2043" s="1856">
        <v>0</v>
      </c>
      <c r="I2043" s="1856">
        <v>0</v>
      </c>
      <c r="J2043" s="1873">
        <v>0</v>
      </c>
      <c r="K2043" s="1860"/>
      <c r="L2043" s="1854">
        <v>13245010904</v>
      </c>
      <c r="M2043" s="1855">
        <v>0</v>
      </c>
      <c r="N2043" s="1855">
        <v>0</v>
      </c>
      <c r="O2043" s="1856">
        <v>0</v>
      </c>
    </row>
    <row r="2044" spans="3:15" ht="13.5">
      <c r="C2044" s="1861" t="s">
        <v>5834</v>
      </c>
      <c r="D2044" s="1858">
        <v>0</v>
      </c>
      <c r="E2044" s="1858">
        <v>0</v>
      </c>
      <c r="F2044" s="1859">
        <v>0</v>
      </c>
      <c r="G2044" s="1872" t="s">
        <v>5834</v>
      </c>
      <c r="H2044" s="1856">
        <v>0</v>
      </c>
      <c r="I2044" s="1856">
        <v>0</v>
      </c>
      <c r="J2044" s="1873">
        <v>0</v>
      </c>
      <c r="K2044" s="1860"/>
      <c r="L2044" s="1854">
        <v>13245010905</v>
      </c>
      <c r="M2044" s="1855">
        <v>0</v>
      </c>
      <c r="N2044" s="1855">
        <v>0</v>
      </c>
      <c r="O2044" s="1856">
        <v>0</v>
      </c>
    </row>
    <row r="2045" spans="3:15" ht="13.5">
      <c r="C2045" s="1861" t="s">
        <v>5835</v>
      </c>
      <c r="D2045" s="1858">
        <v>0</v>
      </c>
      <c r="E2045" s="1858">
        <v>1</v>
      </c>
      <c r="F2045" s="1859">
        <v>1</v>
      </c>
      <c r="G2045" s="1872" t="s">
        <v>5835</v>
      </c>
      <c r="H2045" s="1856">
        <v>0</v>
      </c>
      <c r="I2045" s="1856">
        <v>1</v>
      </c>
      <c r="J2045" s="1873">
        <v>1</v>
      </c>
      <c r="K2045" s="1860"/>
      <c r="L2045" s="1854">
        <v>13245010906</v>
      </c>
      <c r="M2045" s="1855">
        <v>0</v>
      </c>
      <c r="N2045" s="1855">
        <v>1</v>
      </c>
      <c r="O2045" s="1856">
        <v>1</v>
      </c>
    </row>
    <row r="2046" spans="3:15" ht="13.5">
      <c r="C2046" s="1861" t="s">
        <v>5836</v>
      </c>
      <c r="D2046" s="1858">
        <v>0</v>
      </c>
      <c r="E2046" s="1858">
        <v>0</v>
      </c>
      <c r="F2046" s="1859">
        <v>0</v>
      </c>
      <c r="G2046" s="1872" t="s">
        <v>5836</v>
      </c>
      <c r="H2046" s="1856">
        <v>0</v>
      </c>
      <c r="I2046" s="1856">
        <v>0</v>
      </c>
      <c r="J2046" s="1873">
        <v>0</v>
      </c>
      <c r="K2046" s="1860"/>
      <c r="L2046" s="1854">
        <v>13245011000</v>
      </c>
      <c r="M2046" s="1855">
        <v>0</v>
      </c>
      <c r="N2046" s="1855">
        <v>0</v>
      </c>
      <c r="O2046" s="1856">
        <v>0</v>
      </c>
    </row>
    <row r="2047" spans="3:15" ht="13.5">
      <c r="C2047" s="1861" t="s">
        <v>5837</v>
      </c>
      <c r="D2047" s="1858">
        <v>0</v>
      </c>
      <c r="E2047" s="1858">
        <v>1</v>
      </c>
      <c r="F2047" s="1859">
        <v>1</v>
      </c>
      <c r="G2047" s="1872" t="s">
        <v>5837</v>
      </c>
      <c r="H2047" s="1856">
        <v>1</v>
      </c>
      <c r="I2047" s="1856">
        <v>1</v>
      </c>
      <c r="J2047" s="1873">
        <v>2</v>
      </c>
      <c r="K2047" s="1860"/>
      <c r="L2047" s="1854">
        <v>13247060101</v>
      </c>
      <c r="M2047" s="1855">
        <v>1</v>
      </c>
      <c r="N2047" s="1855">
        <v>1</v>
      </c>
      <c r="O2047" s="1856">
        <v>2</v>
      </c>
    </row>
    <row r="2048" spans="3:15" ht="13.5">
      <c r="C2048" s="1861" t="s">
        <v>5838</v>
      </c>
      <c r="D2048" s="1858">
        <v>0</v>
      </c>
      <c r="E2048" s="1858">
        <v>1</v>
      </c>
      <c r="F2048" s="1859">
        <v>1</v>
      </c>
      <c r="G2048" s="1872" t="s">
        <v>5838</v>
      </c>
      <c r="H2048" s="1856">
        <v>1</v>
      </c>
      <c r="I2048" s="1856">
        <v>1</v>
      </c>
      <c r="J2048" s="1873">
        <v>2</v>
      </c>
      <c r="K2048" s="1860"/>
      <c r="L2048" s="1854">
        <v>13247060102</v>
      </c>
      <c r="M2048" s="1855">
        <v>1</v>
      </c>
      <c r="N2048" s="1855">
        <v>1</v>
      </c>
      <c r="O2048" s="1856">
        <v>2</v>
      </c>
    </row>
    <row r="2049" spans="3:15" ht="13.5">
      <c r="C2049" s="1861" t="s">
        <v>5839</v>
      </c>
      <c r="D2049" s="1858">
        <v>0</v>
      </c>
      <c r="E2049" s="1858">
        <v>0</v>
      </c>
      <c r="F2049" s="1859">
        <v>0</v>
      </c>
      <c r="G2049" s="1872" t="s">
        <v>5839</v>
      </c>
      <c r="H2049" s="1856">
        <v>0</v>
      </c>
      <c r="I2049" s="1856">
        <v>0</v>
      </c>
      <c r="J2049" s="1873">
        <v>0</v>
      </c>
      <c r="K2049" s="1860"/>
      <c r="L2049" s="1854">
        <v>13247060201</v>
      </c>
      <c r="M2049" s="1855">
        <v>0</v>
      </c>
      <c r="N2049" s="1855">
        <v>0</v>
      </c>
      <c r="O2049" s="1856">
        <v>0</v>
      </c>
    </row>
    <row r="2050" spans="3:15" ht="13.5">
      <c r="C2050" s="1861" t="s">
        <v>5840</v>
      </c>
      <c r="D2050" s="1858">
        <v>1</v>
      </c>
      <c r="E2050" s="1858">
        <v>1</v>
      </c>
      <c r="F2050" s="1859">
        <v>2</v>
      </c>
      <c r="G2050" s="1872" t="s">
        <v>5840</v>
      </c>
      <c r="H2050" s="1856">
        <v>1</v>
      </c>
      <c r="I2050" s="1856">
        <v>1</v>
      </c>
      <c r="J2050" s="1873">
        <v>2</v>
      </c>
      <c r="K2050" s="1860"/>
      <c r="L2050" s="1854">
        <v>13247060202</v>
      </c>
      <c r="M2050" s="1855">
        <v>1</v>
      </c>
      <c r="N2050" s="1855">
        <v>1</v>
      </c>
      <c r="O2050" s="1856">
        <v>2</v>
      </c>
    </row>
    <row r="2051" spans="3:15" ht="13.5">
      <c r="C2051" s="1861" t="s">
        <v>5841</v>
      </c>
      <c r="D2051" s="1858">
        <v>0</v>
      </c>
      <c r="E2051" s="1858">
        <v>0</v>
      </c>
      <c r="F2051" s="1859">
        <v>0</v>
      </c>
      <c r="G2051" s="1872" t="s">
        <v>5841</v>
      </c>
      <c r="H2051" s="1856">
        <v>0</v>
      </c>
      <c r="I2051" s="1856">
        <v>0</v>
      </c>
      <c r="J2051" s="1873">
        <v>0</v>
      </c>
      <c r="K2051" s="1860"/>
      <c r="L2051" s="1854">
        <v>13247060304</v>
      </c>
      <c r="M2051" s="1855">
        <v>0</v>
      </c>
      <c r="N2051" s="1855">
        <v>0</v>
      </c>
      <c r="O2051" s="1856">
        <v>0</v>
      </c>
    </row>
    <row r="2052" spans="3:15" ht="13.5">
      <c r="C2052" s="1861" t="s">
        <v>5842</v>
      </c>
      <c r="D2052" s="1858">
        <v>0</v>
      </c>
      <c r="E2052" s="1858">
        <v>0</v>
      </c>
      <c r="F2052" s="1859">
        <v>0</v>
      </c>
      <c r="G2052" s="1872" t="s">
        <v>5842</v>
      </c>
      <c r="H2052" s="1856">
        <v>0</v>
      </c>
      <c r="I2052" s="1856">
        <v>0</v>
      </c>
      <c r="J2052" s="1873">
        <v>0</v>
      </c>
      <c r="K2052" s="1860"/>
      <c r="L2052" s="1854">
        <v>13247060305</v>
      </c>
      <c r="M2052" s="1855">
        <v>0</v>
      </c>
      <c r="N2052" s="1855">
        <v>0</v>
      </c>
      <c r="O2052" s="1856">
        <v>0</v>
      </c>
    </row>
    <row r="2053" spans="3:15" ht="13.5">
      <c r="C2053" s="1861" t="s">
        <v>5843</v>
      </c>
      <c r="D2053" s="1858">
        <v>1</v>
      </c>
      <c r="E2053" s="1858">
        <v>1</v>
      </c>
      <c r="F2053" s="1859">
        <v>2</v>
      </c>
      <c r="G2053" s="1872" t="s">
        <v>5843</v>
      </c>
      <c r="H2053" s="1856">
        <v>1</v>
      </c>
      <c r="I2053" s="1856">
        <v>1</v>
      </c>
      <c r="J2053" s="1873">
        <v>2</v>
      </c>
      <c r="K2053" s="1860"/>
      <c r="L2053" s="1854">
        <v>13247060306</v>
      </c>
      <c r="M2053" s="1855">
        <v>1</v>
      </c>
      <c r="N2053" s="1855">
        <v>1</v>
      </c>
      <c r="O2053" s="1856">
        <v>2</v>
      </c>
    </row>
    <row r="2054" spans="3:15" ht="13.5">
      <c r="C2054" s="1861" t="s">
        <v>5844</v>
      </c>
      <c r="D2054" s="1858">
        <v>0</v>
      </c>
      <c r="E2054" s="1858">
        <v>1</v>
      </c>
      <c r="F2054" s="1859">
        <v>1</v>
      </c>
      <c r="G2054" s="1872" t="s">
        <v>5844</v>
      </c>
      <c r="H2054" s="1856">
        <v>0</v>
      </c>
      <c r="I2054" s="1856">
        <v>1</v>
      </c>
      <c r="J2054" s="1873">
        <v>1</v>
      </c>
      <c r="K2054" s="1860"/>
      <c r="L2054" s="1854">
        <v>13247060307</v>
      </c>
      <c r="M2054" s="1855">
        <v>0</v>
      </c>
      <c r="N2054" s="1855">
        <v>1</v>
      </c>
      <c r="O2054" s="1856">
        <v>1</v>
      </c>
    </row>
    <row r="2055" spans="3:15" ht="13.5">
      <c r="C2055" s="1861" t="s">
        <v>5845</v>
      </c>
      <c r="D2055" s="1858">
        <v>0</v>
      </c>
      <c r="E2055" s="1858">
        <v>0</v>
      </c>
      <c r="F2055" s="1859">
        <v>0</v>
      </c>
      <c r="G2055" s="1872" t="s">
        <v>5845</v>
      </c>
      <c r="H2055" s="1856">
        <v>0</v>
      </c>
      <c r="I2055" s="1856">
        <v>0</v>
      </c>
      <c r="J2055" s="1873">
        <v>0</v>
      </c>
      <c r="K2055" s="1860"/>
      <c r="L2055" s="1854">
        <v>13247060308</v>
      </c>
      <c r="M2055" s="1855">
        <v>0</v>
      </c>
      <c r="N2055" s="1855">
        <v>0</v>
      </c>
      <c r="O2055" s="1856">
        <v>0</v>
      </c>
    </row>
    <row r="2056" spans="3:15" ht="13.5">
      <c r="C2056" s="1861" t="s">
        <v>5846</v>
      </c>
      <c r="D2056" s="1858">
        <v>0</v>
      </c>
      <c r="E2056" s="1858">
        <v>0</v>
      </c>
      <c r="F2056" s="1859">
        <v>0</v>
      </c>
      <c r="G2056" s="1872" t="s">
        <v>5846</v>
      </c>
      <c r="H2056" s="1856">
        <v>0</v>
      </c>
      <c r="I2056" s="1856">
        <v>0</v>
      </c>
      <c r="J2056" s="1873">
        <v>0</v>
      </c>
      <c r="K2056" s="1860"/>
      <c r="L2056" s="1854">
        <v>13247060309</v>
      </c>
      <c r="M2056" s="1855">
        <v>0</v>
      </c>
      <c r="N2056" s="1855">
        <v>0</v>
      </c>
      <c r="O2056" s="1856">
        <v>0</v>
      </c>
    </row>
    <row r="2057" spans="3:15" ht="13.5">
      <c r="C2057" s="1861" t="s">
        <v>5847</v>
      </c>
      <c r="D2057" s="1858">
        <v>1</v>
      </c>
      <c r="E2057" s="1858">
        <v>1</v>
      </c>
      <c r="F2057" s="1859">
        <v>2</v>
      </c>
      <c r="G2057" s="1872" t="s">
        <v>5847</v>
      </c>
      <c r="H2057" s="1856">
        <v>1</v>
      </c>
      <c r="I2057" s="1856">
        <v>0</v>
      </c>
      <c r="J2057" s="1873">
        <v>1</v>
      </c>
      <c r="K2057" s="1860"/>
      <c r="L2057" s="1854">
        <v>13247060403</v>
      </c>
      <c r="M2057" s="1855">
        <v>1</v>
      </c>
      <c r="N2057" s="1855">
        <v>1</v>
      </c>
      <c r="O2057" s="1856">
        <v>2</v>
      </c>
    </row>
    <row r="2058" spans="3:15" ht="13.5">
      <c r="C2058" s="1861" t="s">
        <v>5848</v>
      </c>
      <c r="D2058" s="1858">
        <v>1</v>
      </c>
      <c r="E2058" s="1858">
        <v>1</v>
      </c>
      <c r="F2058" s="1859">
        <v>2</v>
      </c>
      <c r="G2058" s="1872" t="s">
        <v>5848</v>
      </c>
      <c r="H2058" s="1856">
        <v>1</v>
      </c>
      <c r="I2058" s="1856">
        <v>1</v>
      </c>
      <c r="J2058" s="1873">
        <v>2</v>
      </c>
      <c r="K2058" s="1860"/>
      <c r="L2058" s="1854">
        <v>13247060404</v>
      </c>
      <c r="M2058" s="1855">
        <v>1</v>
      </c>
      <c r="N2058" s="1855">
        <v>1</v>
      </c>
      <c r="O2058" s="1856">
        <v>2</v>
      </c>
    </row>
    <row r="2059" spans="3:15" ht="13.5">
      <c r="C2059" s="1861" t="s">
        <v>5849</v>
      </c>
      <c r="D2059" s="1858">
        <v>1</v>
      </c>
      <c r="E2059" s="1858">
        <v>1</v>
      </c>
      <c r="F2059" s="1859">
        <v>2</v>
      </c>
      <c r="G2059" s="1872" t="s">
        <v>5849</v>
      </c>
      <c r="H2059" s="1856">
        <v>0</v>
      </c>
      <c r="I2059" s="1856">
        <v>1</v>
      </c>
      <c r="J2059" s="1873">
        <v>1</v>
      </c>
      <c r="K2059" s="1860"/>
      <c r="L2059" s="1854">
        <v>13247060405</v>
      </c>
      <c r="M2059" s="1855">
        <v>1</v>
      </c>
      <c r="N2059" s="1855">
        <v>1</v>
      </c>
      <c r="O2059" s="1856">
        <v>2</v>
      </c>
    </row>
    <row r="2060" spans="3:15" ht="13.5">
      <c r="C2060" s="1861" t="s">
        <v>5850</v>
      </c>
      <c r="D2060" s="1858">
        <v>1</v>
      </c>
      <c r="E2060" s="1858">
        <v>1</v>
      </c>
      <c r="F2060" s="1859">
        <v>2</v>
      </c>
      <c r="G2060" s="1872" t="s">
        <v>5850</v>
      </c>
      <c r="H2060" s="1856">
        <v>1</v>
      </c>
      <c r="I2060" s="1856">
        <v>1</v>
      </c>
      <c r="J2060" s="1873">
        <v>2</v>
      </c>
      <c r="K2060" s="1860"/>
      <c r="L2060" s="1854">
        <v>13247060406</v>
      </c>
      <c r="M2060" s="1855">
        <v>1</v>
      </c>
      <c r="N2060" s="1855">
        <v>1</v>
      </c>
      <c r="O2060" s="1856">
        <v>2</v>
      </c>
    </row>
    <row r="2061" spans="3:15" ht="13.5">
      <c r="C2061" s="1861" t="s">
        <v>5851</v>
      </c>
      <c r="D2061" s="1858">
        <v>0</v>
      </c>
      <c r="E2061" s="1858">
        <v>1</v>
      </c>
      <c r="F2061" s="1859">
        <v>1</v>
      </c>
      <c r="G2061" s="1872" t="s">
        <v>5851</v>
      </c>
      <c r="H2061" s="1856">
        <v>0</v>
      </c>
      <c r="I2061" s="1856">
        <v>1</v>
      </c>
      <c r="J2061" s="1873">
        <v>1</v>
      </c>
      <c r="K2061" s="1860"/>
      <c r="L2061" s="1854">
        <v>13247060407</v>
      </c>
      <c r="M2061" s="1855">
        <v>0</v>
      </c>
      <c r="N2061" s="1855">
        <v>1</v>
      </c>
      <c r="O2061" s="1856">
        <v>1</v>
      </c>
    </row>
    <row r="2062" spans="3:15" ht="13.5">
      <c r="C2062" s="1861" t="s">
        <v>5852</v>
      </c>
      <c r="D2062" s="1858">
        <v>0</v>
      </c>
      <c r="E2062" s="1858">
        <v>0</v>
      </c>
      <c r="F2062" s="1859">
        <v>0</v>
      </c>
      <c r="G2062" s="1872" t="s">
        <v>5852</v>
      </c>
      <c r="H2062" s="1856">
        <v>0</v>
      </c>
      <c r="I2062" s="1856">
        <v>1</v>
      </c>
      <c r="J2062" s="1873">
        <v>1</v>
      </c>
      <c r="K2062" s="1860"/>
      <c r="L2062" s="1854">
        <v>13249960100</v>
      </c>
      <c r="M2062" s="1855">
        <v>0</v>
      </c>
      <c r="N2062" s="1855">
        <v>1</v>
      </c>
      <c r="O2062" s="1856">
        <v>1</v>
      </c>
    </row>
    <row r="2063" spans="3:15" ht="13.5">
      <c r="C2063" s="1861" t="s">
        <v>5853</v>
      </c>
      <c r="D2063" s="1858">
        <v>0</v>
      </c>
      <c r="E2063" s="1858">
        <v>0</v>
      </c>
      <c r="F2063" s="1859">
        <v>0</v>
      </c>
      <c r="G2063" s="1872" t="s">
        <v>5853</v>
      </c>
      <c r="H2063" s="1856">
        <v>0</v>
      </c>
      <c r="I2063" s="1856">
        <v>0</v>
      </c>
      <c r="J2063" s="1873">
        <v>0</v>
      </c>
      <c r="K2063" s="1860"/>
      <c r="L2063" s="1854">
        <v>13249960200</v>
      </c>
      <c r="M2063" s="1855">
        <v>0</v>
      </c>
      <c r="N2063" s="1855">
        <v>0</v>
      </c>
      <c r="O2063" s="1856">
        <v>0</v>
      </c>
    </row>
    <row r="2064" spans="3:15" ht="13.5">
      <c r="C2064" s="1861" t="s">
        <v>5854</v>
      </c>
      <c r="D2064" s="1858">
        <v>0</v>
      </c>
      <c r="E2064" s="1858">
        <v>0</v>
      </c>
      <c r="F2064" s="1859">
        <v>0</v>
      </c>
      <c r="G2064" s="1872" t="s">
        <v>5854</v>
      </c>
      <c r="H2064" s="1856">
        <v>0</v>
      </c>
      <c r="I2064" s="1856">
        <v>0</v>
      </c>
      <c r="J2064" s="1873">
        <v>0</v>
      </c>
      <c r="K2064" s="1860"/>
      <c r="L2064" s="1854">
        <v>13251970200</v>
      </c>
      <c r="M2064" s="1855">
        <v>0</v>
      </c>
      <c r="N2064" s="1855">
        <v>0</v>
      </c>
      <c r="O2064" s="1856">
        <v>0</v>
      </c>
    </row>
    <row r="2065" spans="3:15" ht="13.5">
      <c r="C2065" s="1861" t="s">
        <v>5855</v>
      </c>
      <c r="D2065" s="1858">
        <v>0</v>
      </c>
      <c r="E2065" s="1858">
        <v>0</v>
      </c>
      <c r="F2065" s="1859">
        <v>0</v>
      </c>
      <c r="G2065" s="1872" t="s">
        <v>5855</v>
      </c>
      <c r="H2065" s="1856">
        <v>0</v>
      </c>
      <c r="I2065" s="1856">
        <v>0</v>
      </c>
      <c r="J2065" s="1873">
        <v>0</v>
      </c>
      <c r="K2065" s="1860"/>
      <c r="L2065" s="1854">
        <v>13251970300</v>
      </c>
      <c r="M2065" s="1855">
        <v>0</v>
      </c>
      <c r="N2065" s="1855">
        <v>0</v>
      </c>
      <c r="O2065" s="1856">
        <v>0</v>
      </c>
    </row>
    <row r="2066" spans="3:15" ht="13.5">
      <c r="C2066" s="1861" t="s">
        <v>5856</v>
      </c>
      <c r="D2066" s="1858">
        <v>0</v>
      </c>
      <c r="E2066" s="1858">
        <v>0</v>
      </c>
      <c r="F2066" s="1859">
        <v>0</v>
      </c>
      <c r="G2066" s="1872" t="s">
        <v>5856</v>
      </c>
      <c r="H2066" s="1856">
        <v>0</v>
      </c>
      <c r="I2066" s="1856">
        <v>0</v>
      </c>
      <c r="J2066" s="1873">
        <v>0</v>
      </c>
      <c r="K2066" s="1860"/>
      <c r="L2066" s="1854">
        <v>13251970400</v>
      </c>
      <c r="M2066" s="1855">
        <v>0</v>
      </c>
      <c r="N2066" s="1855">
        <v>0</v>
      </c>
      <c r="O2066" s="1856">
        <v>0</v>
      </c>
    </row>
    <row r="2067" spans="3:15" ht="13.5">
      <c r="C2067" s="1861" t="s">
        <v>5857</v>
      </c>
      <c r="D2067" s="1858">
        <v>0</v>
      </c>
      <c r="E2067" s="1858">
        <v>0</v>
      </c>
      <c r="F2067" s="1859">
        <v>0</v>
      </c>
      <c r="G2067" s="1872" t="s">
        <v>5857</v>
      </c>
      <c r="H2067" s="1856">
        <v>0</v>
      </c>
      <c r="I2067" s="1856">
        <v>0</v>
      </c>
      <c r="J2067" s="1873">
        <v>0</v>
      </c>
      <c r="K2067" s="1860"/>
      <c r="L2067" s="1854">
        <v>13251970500</v>
      </c>
      <c r="M2067" s="1855">
        <v>0</v>
      </c>
      <c r="N2067" s="1855">
        <v>0</v>
      </c>
      <c r="O2067" s="1856">
        <v>0</v>
      </c>
    </row>
    <row r="2068" spans="3:15" ht="13.5">
      <c r="C2068" s="1861" t="s">
        <v>5858</v>
      </c>
      <c r="D2068" s="1858">
        <v>0</v>
      </c>
      <c r="E2068" s="1858">
        <v>0</v>
      </c>
      <c r="F2068" s="1859">
        <v>0</v>
      </c>
      <c r="G2068" s="1872" t="s">
        <v>5858</v>
      </c>
      <c r="H2068" s="1856">
        <v>0</v>
      </c>
      <c r="I2068" s="1856">
        <v>0</v>
      </c>
      <c r="J2068" s="1873">
        <v>0</v>
      </c>
      <c r="K2068" s="1860"/>
      <c r="L2068" s="1854">
        <v>13251970600</v>
      </c>
      <c r="M2068" s="1855">
        <v>0</v>
      </c>
      <c r="N2068" s="1855">
        <v>0</v>
      </c>
      <c r="O2068" s="1856">
        <v>0</v>
      </c>
    </row>
    <row r="2069" spans="3:15" ht="13.5">
      <c r="C2069" s="1861" t="s">
        <v>5859</v>
      </c>
      <c r="D2069" s="1858">
        <v>0</v>
      </c>
      <c r="E2069" s="1858">
        <v>0</v>
      </c>
      <c r="F2069" s="1859">
        <v>0</v>
      </c>
      <c r="G2069" s="1872" t="s">
        <v>5859</v>
      </c>
      <c r="H2069" s="1856">
        <v>0</v>
      </c>
      <c r="I2069" s="1856">
        <v>0</v>
      </c>
      <c r="J2069" s="1873">
        <v>0</v>
      </c>
      <c r="K2069" s="1860"/>
      <c r="L2069" s="1854">
        <v>13253200100</v>
      </c>
      <c r="M2069" s="1855">
        <v>0</v>
      </c>
      <c r="N2069" s="1855">
        <v>0</v>
      </c>
      <c r="O2069" s="1856">
        <v>0</v>
      </c>
    </row>
    <row r="2070" spans="3:15" ht="13.5">
      <c r="C2070" s="1861" t="s">
        <v>5860</v>
      </c>
      <c r="D2070" s="1858">
        <v>0</v>
      </c>
      <c r="E2070" s="1858">
        <v>0</v>
      </c>
      <c r="F2070" s="1859">
        <v>0</v>
      </c>
      <c r="G2070" s="1872" t="s">
        <v>5860</v>
      </c>
      <c r="H2070" s="1856">
        <v>0</v>
      </c>
      <c r="I2070" s="1856">
        <v>0</v>
      </c>
      <c r="J2070" s="1873">
        <v>0</v>
      </c>
      <c r="K2070" s="1860"/>
      <c r="L2070" s="1854">
        <v>13253200200</v>
      </c>
      <c r="M2070" s="1855">
        <v>0</v>
      </c>
      <c r="N2070" s="1855">
        <v>0</v>
      </c>
      <c r="O2070" s="1856">
        <v>0</v>
      </c>
    </row>
    <row r="2071" spans="3:15" ht="13.5">
      <c r="C2071" s="1861" t="s">
        <v>5861</v>
      </c>
      <c r="D2071" s="1858">
        <v>0</v>
      </c>
      <c r="E2071" s="1858">
        <v>0</v>
      </c>
      <c r="F2071" s="1859">
        <v>0</v>
      </c>
      <c r="G2071" s="1872" t="s">
        <v>5861</v>
      </c>
      <c r="H2071" s="1856">
        <v>0</v>
      </c>
      <c r="I2071" s="1856">
        <v>0</v>
      </c>
      <c r="J2071" s="1873">
        <v>0</v>
      </c>
      <c r="K2071" s="1860"/>
      <c r="L2071" s="1854">
        <v>13253200300</v>
      </c>
      <c r="M2071" s="1855">
        <v>0</v>
      </c>
      <c r="N2071" s="1855">
        <v>0</v>
      </c>
      <c r="O2071" s="1856">
        <v>0</v>
      </c>
    </row>
    <row r="2072" spans="3:15" ht="13.5">
      <c r="C2072" s="1861" t="s">
        <v>5862</v>
      </c>
      <c r="D2072" s="1858">
        <v>0</v>
      </c>
      <c r="E2072" s="1858">
        <v>1</v>
      </c>
      <c r="F2072" s="1859">
        <v>1</v>
      </c>
      <c r="G2072" s="1872" t="s">
        <v>5862</v>
      </c>
      <c r="H2072" s="1856">
        <v>0</v>
      </c>
      <c r="I2072" s="1856">
        <v>0</v>
      </c>
      <c r="J2072" s="1873">
        <v>0</v>
      </c>
      <c r="K2072" s="1860"/>
      <c r="L2072" s="1854">
        <v>13255160100</v>
      </c>
      <c r="M2072" s="1855">
        <v>0</v>
      </c>
      <c r="N2072" s="1855">
        <v>1</v>
      </c>
      <c r="O2072" s="1856">
        <v>1</v>
      </c>
    </row>
    <row r="2073" spans="3:15" ht="13.5">
      <c r="C2073" s="1861" t="s">
        <v>5863</v>
      </c>
      <c r="D2073" s="1858">
        <v>0</v>
      </c>
      <c r="E2073" s="1858">
        <v>0</v>
      </c>
      <c r="F2073" s="1859">
        <v>0</v>
      </c>
      <c r="G2073" s="1872" t="s">
        <v>5863</v>
      </c>
      <c r="H2073" s="1856">
        <v>0</v>
      </c>
      <c r="I2073" s="1856">
        <v>0</v>
      </c>
      <c r="J2073" s="1873">
        <v>0</v>
      </c>
      <c r="K2073" s="1860"/>
      <c r="L2073" s="1854">
        <v>13255160200</v>
      </c>
      <c r="M2073" s="1855">
        <v>0</v>
      </c>
      <c r="N2073" s="1855">
        <v>0</v>
      </c>
      <c r="O2073" s="1856">
        <v>0</v>
      </c>
    </row>
    <row r="2074" spans="3:15" ht="13.5">
      <c r="C2074" s="1861" t="s">
        <v>5864</v>
      </c>
      <c r="D2074" s="1858">
        <v>0</v>
      </c>
      <c r="E2074" s="1858">
        <v>0</v>
      </c>
      <c r="F2074" s="1859">
        <v>0</v>
      </c>
      <c r="G2074" s="1872" t="s">
        <v>5864</v>
      </c>
      <c r="H2074" s="1856">
        <v>0</v>
      </c>
      <c r="I2074" s="1856">
        <v>0</v>
      </c>
      <c r="J2074" s="1873">
        <v>0</v>
      </c>
      <c r="K2074" s="1860"/>
      <c r="L2074" s="1854">
        <v>13255160300</v>
      </c>
      <c r="M2074" s="1855">
        <v>0</v>
      </c>
      <c r="N2074" s="1855">
        <v>0</v>
      </c>
      <c r="O2074" s="1856">
        <v>0</v>
      </c>
    </row>
    <row r="2075" spans="3:15" ht="13.5">
      <c r="C2075" s="1861" t="s">
        <v>5865</v>
      </c>
      <c r="D2075" s="1858">
        <v>0</v>
      </c>
      <c r="E2075" s="1858">
        <v>0</v>
      </c>
      <c r="F2075" s="1859">
        <v>0</v>
      </c>
      <c r="G2075" s="1872" t="s">
        <v>5865</v>
      </c>
      <c r="H2075" s="1856">
        <v>0</v>
      </c>
      <c r="I2075" s="1856">
        <v>0</v>
      </c>
      <c r="J2075" s="1873">
        <v>0</v>
      </c>
      <c r="K2075" s="1860"/>
      <c r="L2075" s="1854">
        <v>13255160400</v>
      </c>
      <c r="M2075" s="1855">
        <v>0</v>
      </c>
      <c r="N2075" s="1855">
        <v>0</v>
      </c>
      <c r="O2075" s="1856">
        <v>0</v>
      </c>
    </row>
    <row r="2076" spans="3:15" ht="13.5">
      <c r="C2076" s="1861" t="s">
        <v>5866</v>
      </c>
      <c r="D2076" s="1858">
        <v>0</v>
      </c>
      <c r="E2076" s="1858">
        <v>0</v>
      </c>
      <c r="F2076" s="1859">
        <v>0</v>
      </c>
      <c r="G2076" s="1872" t="s">
        <v>5866</v>
      </c>
      <c r="H2076" s="1856">
        <v>0</v>
      </c>
      <c r="I2076" s="1856">
        <v>0</v>
      </c>
      <c r="J2076" s="1873">
        <v>0</v>
      </c>
      <c r="K2076" s="1860"/>
      <c r="L2076" s="1854">
        <v>13255160500</v>
      </c>
      <c r="M2076" s="1855">
        <v>0</v>
      </c>
      <c r="N2076" s="1855">
        <v>0</v>
      </c>
      <c r="O2076" s="1856">
        <v>0</v>
      </c>
    </row>
    <row r="2077" spans="3:15" ht="13.5">
      <c r="C2077" s="1861" t="s">
        <v>5867</v>
      </c>
      <c r="D2077" s="1858">
        <v>1</v>
      </c>
      <c r="E2077" s="1858">
        <v>1</v>
      </c>
      <c r="F2077" s="1859">
        <v>2</v>
      </c>
      <c r="G2077" s="1872" t="s">
        <v>5867</v>
      </c>
      <c r="H2077" s="1856">
        <v>0</v>
      </c>
      <c r="I2077" s="1856">
        <v>0</v>
      </c>
      <c r="J2077" s="1873">
        <v>0</v>
      </c>
      <c r="K2077" s="1860"/>
      <c r="L2077" s="1854">
        <v>13255160600</v>
      </c>
      <c r="M2077" s="1855">
        <v>1</v>
      </c>
      <c r="N2077" s="1855">
        <v>1</v>
      </c>
      <c r="O2077" s="1856">
        <v>2</v>
      </c>
    </row>
    <row r="2078" spans="3:15" ht="13.5">
      <c r="C2078" s="1861" t="s">
        <v>5868</v>
      </c>
      <c r="D2078" s="1858">
        <v>0</v>
      </c>
      <c r="E2078" s="1858">
        <v>0</v>
      </c>
      <c r="F2078" s="1859">
        <v>0</v>
      </c>
      <c r="G2078" s="1872" t="s">
        <v>5868</v>
      </c>
      <c r="H2078" s="1856">
        <v>0</v>
      </c>
      <c r="I2078" s="1856">
        <v>0</v>
      </c>
      <c r="J2078" s="1873">
        <v>0</v>
      </c>
      <c r="K2078" s="1860"/>
      <c r="L2078" s="1854">
        <v>13255160700</v>
      </c>
      <c r="M2078" s="1855">
        <v>0</v>
      </c>
      <c r="N2078" s="1855">
        <v>0</v>
      </c>
      <c r="O2078" s="1856">
        <v>0</v>
      </c>
    </row>
    <row r="2079" spans="3:15" ht="13.5">
      <c r="C2079" s="1861" t="s">
        <v>5869</v>
      </c>
      <c r="D2079" s="1858">
        <v>0</v>
      </c>
      <c r="E2079" s="1858">
        <v>0</v>
      </c>
      <c r="F2079" s="1859">
        <v>0</v>
      </c>
      <c r="G2079" s="1872" t="s">
        <v>5869</v>
      </c>
      <c r="H2079" s="1856">
        <v>0</v>
      </c>
      <c r="I2079" s="1856">
        <v>0</v>
      </c>
      <c r="J2079" s="1873">
        <v>0</v>
      </c>
      <c r="K2079" s="1860"/>
      <c r="L2079" s="1854">
        <v>13255160800</v>
      </c>
      <c r="M2079" s="1855">
        <v>0</v>
      </c>
      <c r="N2079" s="1855">
        <v>0</v>
      </c>
      <c r="O2079" s="1856">
        <v>0</v>
      </c>
    </row>
    <row r="2080" spans="3:15" ht="13.5">
      <c r="C2080" s="1861" t="s">
        <v>5870</v>
      </c>
      <c r="D2080" s="1858">
        <v>0</v>
      </c>
      <c r="E2080" s="1858">
        <v>0</v>
      </c>
      <c r="F2080" s="1859">
        <v>0</v>
      </c>
      <c r="G2080" s="1872" t="s">
        <v>5870</v>
      </c>
      <c r="H2080" s="1856">
        <v>0</v>
      </c>
      <c r="I2080" s="1856">
        <v>0</v>
      </c>
      <c r="J2080" s="1873">
        <v>0</v>
      </c>
      <c r="K2080" s="1860"/>
      <c r="L2080" s="1854">
        <v>13255160900</v>
      </c>
      <c r="M2080" s="1855">
        <v>0</v>
      </c>
      <c r="N2080" s="1855">
        <v>0</v>
      </c>
      <c r="O2080" s="1856">
        <v>0</v>
      </c>
    </row>
    <row r="2081" spans="3:15" ht="13.5">
      <c r="C2081" s="1861" t="s">
        <v>5871</v>
      </c>
      <c r="D2081" s="1858">
        <v>0</v>
      </c>
      <c r="E2081" s="1858">
        <v>1</v>
      </c>
      <c r="F2081" s="1859">
        <v>1</v>
      </c>
      <c r="G2081" s="1872" t="s">
        <v>5871</v>
      </c>
      <c r="H2081" s="1856">
        <v>0</v>
      </c>
      <c r="I2081" s="1856">
        <v>0</v>
      </c>
      <c r="J2081" s="1873">
        <v>0</v>
      </c>
      <c r="K2081" s="1860"/>
      <c r="L2081" s="1854">
        <v>13255161000</v>
      </c>
      <c r="M2081" s="1855">
        <v>0</v>
      </c>
      <c r="N2081" s="1855">
        <v>1</v>
      </c>
      <c r="O2081" s="1856">
        <v>1</v>
      </c>
    </row>
    <row r="2082" spans="3:15" ht="13.5">
      <c r="C2082" s="1861" t="s">
        <v>5872</v>
      </c>
      <c r="D2082" s="1858">
        <v>1</v>
      </c>
      <c r="E2082" s="1858">
        <v>1</v>
      </c>
      <c r="F2082" s="1859">
        <v>2</v>
      </c>
      <c r="G2082" s="1872" t="s">
        <v>5872</v>
      </c>
      <c r="H2082" s="1856">
        <v>1</v>
      </c>
      <c r="I2082" s="1856">
        <v>1</v>
      </c>
      <c r="J2082" s="1873">
        <v>2</v>
      </c>
      <c r="K2082" s="1860"/>
      <c r="L2082" s="1854">
        <v>13255161100</v>
      </c>
      <c r="M2082" s="1855">
        <v>1</v>
      </c>
      <c r="N2082" s="1855">
        <v>1</v>
      </c>
      <c r="O2082" s="1856">
        <v>2</v>
      </c>
    </row>
    <row r="2083" spans="3:15" ht="13.5">
      <c r="C2083" s="1861" t="s">
        <v>5873</v>
      </c>
      <c r="D2083" s="1858">
        <v>0</v>
      </c>
      <c r="E2083" s="1858">
        <v>0</v>
      </c>
      <c r="F2083" s="1859">
        <v>0</v>
      </c>
      <c r="G2083" s="1872" t="s">
        <v>5873</v>
      </c>
      <c r="H2083" s="1856">
        <v>0</v>
      </c>
      <c r="I2083" s="1856">
        <v>1</v>
      </c>
      <c r="J2083" s="1873">
        <v>1</v>
      </c>
      <c r="K2083" s="1860"/>
      <c r="L2083" s="1854">
        <v>13255161200</v>
      </c>
      <c r="M2083" s="1855">
        <v>0</v>
      </c>
      <c r="N2083" s="1855">
        <v>1</v>
      </c>
      <c r="O2083" s="1856">
        <v>1</v>
      </c>
    </row>
    <row r="2084" spans="3:15" ht="13.5">
      <c r="C2084" s="1861" t="s">
        <v>5874</v>
      </c>
      <c r="D2084" s="1858">
        <v>0</v>
      </c>
      <c r="E2084" s="1858">
        <v>0</v>
      </c>
      <c r="F2084" s="1859">
        <v>0</v>
      </c>
      <c r="G2084" s="1872" t="s">
        <v>5874</v>
      </c>
      <c r="H2084" s="1856">
        <v>0</v>
      </c>
      <c r="I2084" s="1856">
        <v>0</v>
      </c>
      <c r="J2084" s="1873">
        <v>0</v>
      </c>
      <c r="K2084" s="1860"/>
      <c r="L2084" s="1854">
        <v>13257970100</v>
      </c>
      <c r="M2084" s="1855">
        <v>0</v>
      </c>
      <c r="N2084" s="1855">
        <v>0</v>
      </c>
      <c r="O2084" s="1856">
        <v>0</v>
      </c>
    </row>
    <row r="2085" spans="3:15" ht="13.5">
      <c r="C2085" s="1861" t="s">
        <v>5875</v>
      </c>
      <c r="D2085" s="1858">
        <v>0</v>
      </c>
      <c r="E2085" s="1858">
        <v>0</v>
      </c>
      <c r="F2085" s="1859">
        <v>0</v>
      </c>
      <c r="G2085" s="1872" t="s">
        <v>5875</v>
      </c>
      <c r="H2085" s="1856">
        <v>0</v>
      </c>
      <c r="I2085" s="1856">
        <v>0</v>
      </c>
      <c r="J2085" s="1873">
        <v>0</v>
      </c>
      <c r="K2085" s="1860"/>
      <c r="L2085" s="1854">
        <v>13257970200</v>
      </c>
      <c r="M2085" s="1855">
        <v>0</v>
      </c>
      <c r="N2085" s="1855">
        <v>0</v>
      </c>
      <c r="O2085" s="1856">
        <v>0</v>
      </c>
    </row>
    <row r="2086" spans="3:15" ht="13.5">
      <c r="C2086" s="1861" t="s">
        <v>5876</v>
      </c>
      <c r="D2086" s="1858">
        <v>0</v>
      </c>
      <c r="E2086" s="1858">
        <v>0</v>
      </c>
      <c r="F2086" s="1859">
        <v>0</v>
      </c>
      <c r="G2086" s="1872" t="s">
        <v>5876</v>
      </c>
      <c r="H2086" s="1856">
        <v>0</v>
      </c>
      <c r="I2086" s="1856">
        <v>0</v>
      </c>
      <c r="J2086" s="1873">
        <v>0</v>
      </c>
      <c r="K2086" s="1860"/>
      <c r="L2086" s="1854">
        <v>13257970301</v>
      </c>
      <c r="M2086" s="1855">
        <v>0</v>
      </c>
      <c r="N2086" s="1855">
        <v>0</v>
      </c>
      <c r="O2086" s="1856">
        <v>0</v>
      </c>
    </row>
    <row r="2087" spans="3:15" ht="13.5">
      <c r="C2087" s="1861" t="s">
        <v>5877</v>
      </c>
      <c r="D2087" s="1858">
        <v>0</v>
      </c>
      <c r="E2087" s="1858">
        <v>0</v>
      </c>
      <c r="F2087" s="1859">
        <v>0</v>
      </c>
      <c r="G2087" s="1872" t="s">
        <v>5877</v>
      </c>
      <c r="H2087" s="1856">
        <v>0</v>
      </c>
      <c r="I2087" s="1856">
        <v>0</v>
      </c>
      <c r="J2087" s="1873">
        <v>0</v>
      </c>
      <c r="K2087" s="1860"/>
      <c r="L2087" s="1854">
        <v>13257970302</v>
      </c>
      <c r="M2087" s="1855">
        <v>0</v>
      </c>
      <c r="N2087" s="1855">
        <v>0</v>
      </c>
      <c r="O2087" s="1856">
        <v>0</v>
      </c>
    </row>
    <row r="2088" spans="3:15" ht="13.5">
      <c r="C2088" s="1861" t="s">
        <v>5878</v>
      </c>
      <c r="D2088" s="1858">
        <v>0</v>
      </c>
      <c r="E2088" s="1858">
        <v>0</v>
      </c>
      <c r="F2088" s="1859">
        <v>0</v>
      </c>
      <c r="G2088" s="1872" t="s">
        <v>5878</v>
      </c>
      <c r="H2088" s="1856">
        <v>0</v>
      </c>
      <c r="I2088" s="1856">
        <v>0</v>
      </c>
      <c r="J2088" s="1873">
        <v>0</v>
      </c>
      <c r="K2088" s="1860"/>
      <c r="L2088" s="1854">
        <v>13257970400</v>
      </c>
      <c r="M2088" s="1855">
        <v>0</v>
      </c>
      <c r="N2088" s="1855">
        <v>0</v>
      </c>
      <c r="O2088" s="1856">
        <v>0</v>
      </c>
    </row>
    <row r="2089" spans="3:15" ht="13.5">
      <c r="C2089" s="1861" t="s">
        <v>5879</v>
      </c>
      <c r="D2089" s="1858">
        <v>0</v>
      </c>
      <c r="E2089" s="1858">
        <v>0</v>
      </c>
      <c r="F2089" s="1859">
        <v>0</v>
      </c>
      <c r="G2089" s="1872" t="s">
        <v>5879</v>
      </c>
      <c r="H2089" s="1856">
        <v>0</v>
      </c>
      <c r="I2089" s="1856">
        <v>0</v>
      </c>
      <c r="J2089" s="1873">
        <v>0</v>
      </c>
      <c r="K2089" s="1860"/>
      <c r="L2089" s="1854">
        <v>13259950100</v>
      </c>
      <c r="M2089" s="1855">
        <v>0</v>
      </c>
      <c r="N2089" s="1855">
        <v>0</v>
      </c>
      <c r="O2089" s="1856">
        <v>0</v>
      </c>
    </row>
    <row r="2090" spans="3:15" ht="13.5">
      <c r="C2090" s="1861" t="s">
        <v>5880</v>
      </c>
      <c r="D2090" s="1858">
        <v>0</v>
      </c>
      <c r="E2090" s="1858">
        <v>0</v>
      </c>
      <c r="F2090" s="1859">
        <v>0</v>
      </c>
      <c r="G2090" s="1872" t="s">
        <v>5880</v>
      </c>
      <c r="H2090" s="1856">
        <v>0</v>
      </c>
      <c r="I2090" s="1856">
        <v>0</v>
      </c>
      <c r="J2090" s="1873">
        <v>0</v>
      </c>
      <c r="K2090" s="1860"/>
      <c r="L2090" s="1854">
        <v>13259950400</v>
      </c>
      <c r="M2090" s="1855">
        <v>0</v>
      </c>
      <c r="N2090" s="1855">
        <v>0</v>
      </c>
      <c r="O2090" s="1856">
        <v>0</v>
      </c>
    </row>
    <row r="2091" spans="3:15" ht="13.5">
      <c r="C2091" s="1861" t="s">
        <v>5881</v>
      </c>
      <c r="D2091" s="1858">
        <v>0</v>
      </c>
      <c r="E2091" s="1858">
        <v>0</v>
      </c>
      <c r="F2091" s="1859">
        <v>0</v>
      </c>
      <c r="G2091" s="1872" t="s">
        <v>5881</v>
      </c>
      <c r="H2091" s="1856">
        <v>0</v>
      </c>
      <c r="I2091" s="1856">
        <v>0</v>
      </c>
      <c r="J2091" s="1873">
        <v>0</v>
      </c>
      <c r="K2091" s="1860"/>
      <c r="L2091" s="1854">
        <v>13261950100</v>
      </c>
      <c r="M2091" s="1855">
        <v>0</v>
      </c>
      <c r="N2091" s="1855">
        <v>0</v>
      </c>
      <c r="O2091" s="1856">
        <v>0</v>
      </c>
    </row>
    <row r="2092" spans="3:15" ht="13.5">
      <c r="C2092" s="1861" t="s">
        <v>5882</v>
      </c>
      <c r="D2092" s="1858">
        <v>0</v>
      </c>
      <c r="E2092" s="1858">
        <v>0</v>
      </c>
      <c r="F2092" s="1859">
        <v>0</v>
      </c>
      <c r="G2092" s="1872" t="s">
        <v>5882</v>
      </c>
      <c r="H2092" s="1856">
        <v>0</v>
      </c>
      <c r="I2092" s="1856">
        <v>0</v>
      </c>
      <c r="J2092" s="1873">
        <v>0</v>
      </c>
      <c r="K2092" s="1860"/>
      <c r="L2092" s="1854">
        <v>13261950200</v>
      </c>
      <c r="M2092" s="1855">
        <v>0</v>
      </c>
      <c r="N2092" s="1855">
        <v>0</v>
      </c>
      <c r="O2092" s="1856">
        <v>0</v>
      </c>
    </row>
    <row r="2093" spans="3:15" ht="13.5">
      <c r="C2093" s="1861" t="s">
        <v>5883</v>
      </c>
      <c r="D2093" s="1858">
        <v>0</v>
      </c>
      <c r="E2093" s="1858">
        <v>0</v>
      </c>
      <c r="F2093" s="1859">
        <v>0</v>
      </c>
      <c r="G2093" s="1872" t="s">
        <v>5883</v>
      </c>
      <c r="H2093" s="1856">
        <v>0</v>
      </c>
      <c r="I2093" s="1856">
        <v>1</v>
      </c>
      <c r="J2093" s="1873">
        <v>1</v>
      </c>
      <c r="K2093" s="1860"/>
      <c r="L2093" s="1854">
        <v>13261950300</v>
      </c>
      <c r="M2093" s="1855">
        <v>0</v>
      </c>
      <c r="N2093" s="1855">
        <v>1</v>
      </c>
      <c r="O2093" s="1856">
        <v>1</v>
      </c>
    </row>
    <row r="2094" spans="3:15" ht="13.5">
      <c r="C2094" s="1861" t="s">
        <v>5884</v>
      </c>
      <c r="D2094" s="1858">
        <v>0</v>
      </c>
      <c r="E2094" s="1858">
        <v>0</v>
      </c>
      <c r="F2094" s="1859">
        <v>0</v>
      </c>
      <c r="G2094" s="1872" t="s">
        <v>5884</v>
      </c>
      <c r="H2094" s="1856">
        <v>0</v>
      </c>
      <c r="I2094" s="1856">
        <v>0</v>
      </c>
      <c r="J2094" s="1873">
        <v>0</v>
      </c>
      <c r="K2094" s="1860"/>
      <c r="L2094" s="1854">
        <v>13261950400</v>
      </c>
      <c r="M2094" s="1855">
        <v>0</v>
      </c>
      <c r="N2094" s="1855">
        <v>0</v>
      </c>
      <c r="O2094" s="1856">
        <v>0</v>
      </c>
    </row>
    <row r="2095" spans="3:15" ht="13.5">
      <c r="C2095" s="1861" t="s">
        <v>5885</v>
      </c>
      <c r="D2095" s="1858">
        <v>0</v>
      </c>
      <c r="E2095" s="1858">
        <v>0</v>
      </c>
      <c r="F2095" s="1859">
        <v>0</v>
      </c>
      <c r="G2095" s="1872" t="s">
        <v>5885</v>
      </c>
      <c r="H2095" s="1856">
        <v>0</v>
      </c>
      <c r="I2095" s="1856">
        <v>0</v>
      </c>
      <c r="J2095" s="1873">
        <v>0</v>
      </c>
      <c r="K2095" s="1860"/>
      <c r="L2095" s="1854">
        <v>13261950500</v>
      </c>
      <c r="M2095" s="1855">
        <v>0</v>
      </c>
      <c r="N2095" s="1855">
        <v>0</v>
      </c>
      <c r="O2095" s="1856">
        <v>0</v>
      </c>
    </row>
    <row r="2096" spans="3:15" ht="13.5">
      <c r="C2096" s="1861" t="s">
        <v>5886</v>
      </c>
      <c r="D2096" s="1858">
        <v>0</v>
      </c>
      <c r="E2096" s="1858">
        <v>0</v>
      </c>
      <c r="F2096" s="1859">
        <v>0</v>
      </c>
      <c r="G2096" s="1872" t="s">
        <v>5886</v>
      </c>
      <c r="H2096" s="1856">
        <v>0</v>
      </c>
      <c r="I2096" s="1856">
        <v>0</v>
      </c>
      <c r="J2096" s="1873">
        <v>0</v>
      </c>
      <c r="K2096" s="1860"/>
      <c r="L2096" s="1854">
        <v>13261950600</v>
      </c>
      <c r="M2096" s="1855">
        <v>0</v>
      </c>
      <c r="N2096" s="1855">
        <v>0</v>
      </c>
      <c r="O2096" s="1856">
        <v>0</v>
      </c>
    </row>
    <row r="2097" spans="3:15" ht="13.5">
      <c r="C2097" s="1861" t="s">
        <v>5887</v>
      </c>
      <c r="D2097" s="1858">
        <v>0</v>
      </c>
      <c r="E2097" s="1858">
        <v>0</v>
      </c>
      <c r="F2097" s="1859">
        <v>0</v>
      </c>
      <c r="G2097" s="1872" t="s">
        <v>5887</v>
      </c>
      <c r="H2097" s="1856">
        <v>0</v>
      </c>
      <c r="I2097" s="1856">
        <v>1</v>
      </c>
      <c r="J2097" s="1873">
        <v>1</v>
      </c>
      <c r="K2097" s="1860"/>
      <c r="L2097" s="1854">
        <v>13261950700</v>
      </c>
      <c r="M2097" s="1855">
        <v>0</v>
      </c>
      <c r="N2097" s="1855">
        <v>1</v>
      </c>
      <c r="O2097" s="1856">
        <v>1</v>
      </c>
    </row>
    <row r="2098" spans="3:15" ht="13.5">
      <c r="C2098" s="1861" t="s">
        <v>5888</v>
      </c>
      <c r="D2098" s="1858">
        <v>0</v>
      </c>
      <c r="E2098" s="1858">
        <v>0</v>
      </c>
      <c r="F2098" s="1859">
        <v>0</v>
      </c>
      <c r="G2098" s="1872" t="s">
        <v>5888</v>
      </c>
      <c r="H2098" s="1856">
        <v>0</v>
      </c>
      <c r="I2098" s="1856">
        <v>1</v>
      </c>
      <c r="J2098" s="1873">
        <v>1</v>
      </c>
      <c r="K2098" s="1860"/>
      <c r="L2098" s="1854">
        <v>13261950800</v>
      </c>
      <c r="M2098" s="1855">
        <v>0</v>
      </c>
      <c r="N2098" s="1855">
        <v>1</v>
      </c>
      <c r="O2098" s="1856">
        <v>1</v>
      </c>
    </row>
    <row r="2099" spans="3:15" ht="13.5">
      <c r="C2099" s="1861" t="s">
        <v>5889</v>
      </c>
      <c r="D2099" s="1858">
        <v>1</v>
      </c>
      <c r="E2099" s="1858">
        <v>0</v>
      </c>
      <c r="F2099" s="1859">
        <v>1</v>
      </c>
      <c r="G2099" s="1872" t="s">
        <v>5889</v>
      </c>
      <c r="H2099" s="1856">
        <v>0</v>
      </c>
      <c r="I2099" s="1856" t="s">
        <v>3909</v>
      </c>
      <c r="J2099" s="1873">
        <v>0</v>
      </c>
      <c r="K2099" s="1860"/>
      <c r="L2099" s="1854">
        <v>13263960100</v>
      </c>
      <c r="M2099" s="1855">
        <v>1</v>
      </c>
      <c r="N2099" s="1855">
        <v>0</v>
      </c>
      <c r="O2099" s="1856">
        <v>1</v>
      </c>
    </row>
    <row r="2100" spans="3:15" ht="13.5">
      <c r="C2100" s="1861" t="s">
        <v>5890</v>
      </c>
      <c r="D2100" s="1858">
        <v>0</v>
      </c>
      <c r="E2100" s="1858">
        <v>0</v>
      </c>
      <c r="F2100" s="1859">
        <v>0</v>
      </c>
      <c r="G2100" s="1872" t="s">
        <v>5890</v>
      </c>
      <c r="H2100" s="1856">
        <v>0</v>
      </c>
      <c r="I2100" s="1856">
        <v>0</v>
      </c>
      <c r="J2100" s="1873">
        <v>0</v>
      </c>
      <c r="K2100" s="1860"/>
      <c r="L2100" s="1854">
        <v>13263960200</v>
      </c>
      <c r="M2100" s="1855">
        <v>0</v>
      </c>
      <c r="N2100" s="1855">
        <v>0</v>
      </c>
      <c r="O2100" s="1856">
        <v>0</v>
      </c>
    </row>
    <row r="2101" spans="3:15" ht="13.5">
      <c r="C2101" s="1861" t="s">
        <v>5891</v>
      </c>
      <c r="D2101" s="1858">
        <v>0</v>
      </c>
      <c r="E2101" s="1858">
        <v>0</v>
      </c>
      <c r="F2101" s="1859">
        <v>0</v>
      </c>
      <c r="G2101" s="1872" t="s">
        <v>5891</v>
      </c>
      <c r="H2101" s="1856">
        <v>0</v>
      </c>
      <c r="I2101" s="1856">
        <v>0</v>
      </c>
      <c r="J2101" s="1873">
        <v>0</v>
      </c>
      <c r="K2101" s="1860"/>
      <c r="L2101" s="1854">
        <v>13263960300</v>
      </c>
      <c r="M2101" s="1855">
        <v>0</v>
      </c>
      <c r="N2101" s="1855">
        <v>0</v>
      </c>
      <c r="O2101" s="1856">
        <v>0</v>
      </c>
    </row>
    <row r="2102" spans="3:15" ht="13.5">
      <c r="C2102" s="1861" t="s">
        <v>5892</v>
      </c>
      <c r="D2102" s="1858">
        <v>0</v>
      </c>
      <c r="E2102" s="1858">
        <v>0</v>
      </c>
      <c r="F2102" s="1859">
        <v>0</v>
      </c>
      <c r="G2102" s="1872" t="s">
        <v>5892</v>
      </c>
      <c r="H2102" s="1856">
        <v>0</v>
      </c>
      <c r="I2102" s="1856">
        <v>0</v>
      </c>
      <c r="J2102" s="1873">
        <v>0</v>
      </c>
      <c r="K2102" s="1860"/>
      <c r="L2102" s="1854">
        <v>13265010200</v>
      </c>
      <c r="M2102" s="1855">
        <v>0</v>
      </c>
      <c r="N2102" s="1855">
        <v>0</v>
      </c>
      <c r="O2102" s="1856">
        <v>0</v>
      </c>
    </row>
    <row r="2103" spans="3:15" ht="13.5">
      <c r="C2103" s="1861" t="s">
        <v>5893</v>
      </c>
      <c r="D2103" s="1858">
        <v>0</v>
      </c>
      <c r="E2103" s="1858">
        <v>0</v>
      </c>
      <c r="F2103" s="1859">
        <v>0</v>
      </c>
      <c r="G2103" s="1872" t="s">
        <v>5893</v>
      </c>
      <c r="H2103" s="1856">
        <v>0</v>
      </c>
      <c r="I2103" s="1856">
        <v>0</v>
      </c>
      <c r="J2103" s="1873">
        <v>0</v>
      </c>
      <c r="K2103" s="1860"/>
      <c r="L2103" s="1854">
        <v>13267950100</v>
      </c>
      <c r="M2103" s="1855">
        <v>0</v>
      </c>
      <c r="N2103" s="1855">
        <v>0</v>
      </c>
      <c r="O2103" s="1856">
        <v>0</v>
      </c>
    </row>
    <row r="2104" spans="3:15" ht="13.5">
      <c r="C2104" s="1861" t="s">
        <v>5894</v>
      </c>
      <c r="D2104" s="1858">
        <v>0</v>
      </c>
      <c r="E2104" s="1858">
        <v>0</v>
      </c>
      <c r="F2104" s="1859">
        <v>0</v>
      </c>
      <c r="G2104" s="1872" t="s">
        <v>5894</v>
      </c>
      <c r="H2104" s="1856">
        <v>0</v>
      </c>
      <c r="I2104" s="1856">
        <v>0</v>
      </c>
      <c r="J2104" s="1873">
        <v>0</v>
      </c>
      <c r="K2104" s="1860"/>
      <c r="L2104" s="1854">
        <v>13267950201</v>
      </c>
      <c r="M2104" s="1855">
        <v>0</v>
      </c>
      <c r="N2104" s="1855">
        <v>0</v>
      </c>
      <c r="O2104" s="1856">
        <v>0</v>
      </c>
    </row>
    <row r="2105" spans="3:15" ht="13.5">
      <c r="C2105" s="1861" t="s">
        <v>5895</v>
      </c>
      <c r="D2105" s="1858">
        <v>0</v>
      </c>
      <c r="E2105" s="1858">
        <v>0</v>
      </c>
      <c r="F2105" s="1859">
        <v>0</v>
      </c>
      <c r="G2105" s="1872" t="s">
        <v>5895</v>
      </c>
      <c r="H2105" s="1856">
        <v>0</v>
      </c>
      <c r="I2105" s="1856">
        <v>0</v>
      </c>
      <c r="J2105" s="1873">
        <v>0</v>
      </c>
      <c r="K2105" s="1860"/>
      <c r="L2105" s="1854">
        <v>13267950202</v>
      </c>
      <c r="M2105" s="1855">
        <v>0</v>
      </c>
      <c r="N2105" s="1855">
        <v>0</v>
      </c>
      <c r="O2105" s="1856">
        <v>0</v>
      </c>
    </row>
    <row r="2106" spans="3:15" ht="13.5">
      <c r="C2106" s="1861" t="s">
        <v>5896</v>
      </c>
      <c r="D2106" s="1858">
        <v>0</v>
      </c>
      <c r="E2106" s="1858">
        <v>0</v>
      </c>
      <c r="F2106" s="1859">
        <v>0</v>
      </c>
      <c r="G2106" s="1872" t="s">
        <v>5896</v>
      </c>
      <c r="H2106" s="1856">
        <v>0</v>
      </c>
      <c r="I2106" s="1856">
        <v>0</v>
      </c>
      <c r="J2106" s="1873">
        <v>0</v>
      </c>
      <c r="K2106" s="1860"/>
      <c r="L2106" s="1854">
        <v>13267950300</v>
      </c>
      <c r="M2106" s="1855">
        <v>0</v>
      </c>
      <c r="N2106" s="1855">
        <v>0</v>
      </c>
      <c r="O2106" s="1856">
        <v>0</v>
      </c>
    </row>
    <row r="2107" spans="3:15" ht="13.5">
      <c r="C2107" s="1861" t="s">
        <v>5897</v>
      </c>
      <c r="D2107" s="1858">
        <v>0</v>
      </c>
      <c r="E2107" s="1858">
        <v>0</v>
      </c>
      <c r="F2107" s="1859">
        <v>0</v>
      </c>
      <c r="G2107" s="1872" t="s">
        <v>5897</v>
      </c>
      <c r="H2107" s="1856">
        <v>0</v>
      </c>
      <c r="I2107" s="1856">
        <v>0</v>
      </c>
      <c r="J2107" s="1873">
        <v>0</v>
      </c>
      <c r="K2107" s="1860"/>
      <c r="L2107" s="1854">
        <v>13267950400</v>
      </c>
      <c r="M2107" s="1855">
        <v>0</v>
      </c>
      <c r="N2107" s="1855">
        <v>0</v>
      </c>
      <c r="O2107" s="1856">
        <v>0</v>
      </c>
    </row>
    <row r="2108" spans="3:15" ht="13.5">
      <c r="C2108" s="1861" t="s">
        <v>5898</v>
      </c>
      <c r="D2108" s="1858">
        <v>0</v>
      </c>
      <c r="E2108" s="1858">
        <v>0</v>
      </c>
      <c r="F2108" s="1859">
        <v>0</v>
      </c>
      <c r="G2108" s="1872" t="s">
        <v>5898</v>
      </c>
      <c r="H2108" s="1856">
        <v>0</v>
      </c>
      <c r="I2108" s="1856">
        <v>0</v>
      </c>
      <c r="J2108" s="1873">
        <v>0</v>
      </c>
      <c r="K2108" s="1860"/>
      <c r="L2108" s="1854">
        <v>13269950100</v>
      </c>
      <c r="M2108" s="1855">
        <v>0</v>
      </c>
      <c r="N2108" s="1855">
        <v>0</v>
      </c>
      <c r="O2108" s="1856">
        <v>0</v>
      </c>
    </row>
    <row r="2109" spans="3:15" ht="13.5">
      <c r="C2109" s="1861" t="s">
        <v>5899</v>
      </c>
      <c r="D2109" s="1858">
        <v>0</v>
      </c>
      <c r="E2109" s="1858">
        <v>0</v>
      </c>
      <c r="F2109" s="1859">
        <v>0</v>
      </c>
      <c r="G2109" s="1872" t="s">
        <v>5899</v>
      </c>
      <c r="H2109" s="1856">
        <v>0</v>
      </c>
      <c r="I2109" s="1856">
        <v>0</v>
      </c>
      <c r="J2109" s="1873">
        <v>0</v>
      </c>
      <c r="K2109" s="1860"/>
      <c r="L2109" s="1854">
        <v>13269950200</v>
      </c>
      <c r="M2109" s="1855">
        <v>0</v>
      </c>
      <c r="N2109" s="1855">
        <v>0</v>
      </c>
      <c r="O2109" s="1856">
        <v>0</v>
      </c>
    </row>
    <row r="2110" spans="3:15" ht="13.5">
      <c r="C2110" s="1861" t="s">
        <v>5900</v>
      </c>
      <c r="D2110" s="1858">
        <v>0</v>
      </c>
      <c r="E2110" s="1858">
        <v>0</v>
      </c>
      <c r="F2110" s="1859">
        <v>0</v>
      </c>
      <c r="G2110" s="1872" t="s">
        <v>5900</v>
      </c>
      <c r="H2110" s="1856">
        <v>0</v>
      </c>
      <c r="I2110" s="1856">
        <v>0</v>
      </c>
      <c r="J2110" s="1873">
        <v>0</v>
      </c>
      <c r="K2110" s="1860"/>
      <c r="L2110" s="1854">
        <v>13269950300</v>
      </c>
      <c r="M2110" s="1855">
        <v>0</v>
      </c>
      <c r="N2110" s="1855">
        <v>0</v>
      </c>
      <c r="O2110" s="1856">
        <v>0</v>
      </c>
    </row>
    <row r="2111" spans="3:15" ht="13.5">
      <c r="C2111" s="1861" t="s">
        <v>5901</v>
      </c>
      <c r="D2111" s="1858">
        <v>0</v>
      </c>
      <c r="E2111" s="1858">
        <v>0</v>
      </c>
      <c r="F2111" s="1859">
        <v>0</v>
      </c>
      <c r="G2111" s="1872" t="s">
        <v>5901</v>
      </c>
      <c r="H2111" s="1856">
        <v>0</v>
      </c>
      <c r="I2111" s="1856">
        <v>1</v>
      </c>
      <c r="J2111" s="1873">
        <v>1</v>
      </c>
      <c r="K2111" s="1860"/>
      <c r="L2111" s="1854">
        <v>13271950100</v>
      </c>
      <c r="M2111" s="1855">
        <v>0</v>
      </c>
      <c r="N2111" s="1855">
        <v>1</v>
      </c>
      <c r="O2111" s="1856">
        <v>1</v>
      </c>
    </row>
    <row r="2112" spans="3:15" ht="13.5">
      <c r="C2112" s="1861" t="s">
        <v>5902</v>
      </c>
      <c r="D2112" s="1858">
        <v>0</v>
      </c>
      <c r="E2112" s="1858">
        <v>0</v>
      </c>
      <c r="F2112" s="1859">
        <v>0</v>
      </c>
      <c r="G2112" s="1872" t="s">
        <v>5902</v>
      </c>
      <c r="H2112" s="1856">
        <v>0</v>
      </c>
      <c r="I2112" s="1856">
        <v>1</v>
      </c>
      <c r="J2112" s="1873">
        <v>1</v>
      </c>
      <c r="K2112" s="1860"/>
      <c r="L2112" s="1854">
        <v>13271950200</v>
      </c>
      <c r="M2112" s="1855">
        <v>0</v>
      </c>
      <c r="N2112" s="1855">
        <v>1</v>
      </c>
      <c r="O2112" s="1856">
        <v>1</v>
      </c>
    </row>
    <row r="2113" spans="3:15" ht="13.5">
      <c r="C2113" s="1861" t="s">
        <v>5903</v>
      </c>
      <c r="D2113" s="1858">
        <v>0</v>
      </c>
      <c r="E2113" s="1858">
        <v>0</v>
      </c>
      <c r="F2113" s="1859">
        <v>0</v>
      </c>
      <c r="G2113" s="1872" t="s">
        <v>5903</v>
      </c>
      <c r="H2113" s="1856">
        <v>0</v>
      </c>
      <c r="I2113" s="1856">
        <v>0</v>
      </c>
      <c r="J2113" s="1873">
        <v>0</v>
      </c>
      <c r="K2113" s="1860"/>
      <c r="L2113" s="1854">
        <v>13271950500</v>
      </c>
      <c r="M2113" s="1855">
        <v>0</v>
      </c>
      <c r="N2113" s="1855">
        <v>0</v>
      </c>
      <c r="O2113" s="1856">
        <v>0</v>
      </c>
    </row>
    <row r="2114" spans="3:15" ht="13.5">
      <c r="C2114" s="1861" t="s">
        <v>5904</v>
      </c>
      <c r="D2114" s="1858">
        <v>0</v>
      </c>
      <c r="E2114" s="1858">
        <v>0</v>
      </c>
      <c r="F2114" s="1859">
        <v>0</v>
      </c>
      <c r="G2114" s="1872" t="s">
        <v>5904</v>
      </c>
      <c r="H2114" s="1856">
        <v>0</v>
      </c>
      <c r="I2114" s="1856">
        <v>0</v>
      </c>
      <c r="J2114" s="1873">
        <v>0</v>
      </c>
      <c r="K2114" s="1860"/>
      <c r="L2114" s="1854">
        <v>13273120200</v>
      </c>
      <c r="M2114" s="1855">
        <v>0</v>
      </c>
      <c r="N2114" s="1855">
        <v>0</v>
      </c>
      <c r="O2114" s="1856">
        <v>0</v>
      </c>
    </row>
    <row r="2115" spans="3:15" ht="13.5">
      <c r="C2115" s="1861" t="s">
        <v>5905</v>
      </c>
      <c r="D2115" s="1858">
        <v>0</v>
      </c>
      <c r="E2115" s="1858">
        <v>0</v>
      </c>
      <c r="F2115" s="1859">
        <v>0</v>
      </c>
      <c r="G2115" s="1872" t="s">
        <v>5905</v>
      </c>
      <c r="H2115" s="1856">
        <v>0</v>
      </c>
      <c r="I2115" s="1856">
        <v>0</v>
      </c>
      <c r="J2115" s="1873">
        <v>0</v>
      </c>
      <c r="K2115" s="1860"/>
      <c r="L2115" s="1854">
        <v>13273120300</v>
      </c>
      <c r="M2115" s="1855">
        <v>0</v>
      </c>
      <c r="N2115" s="1855">
        <v>0</v>
      </c>
      <c r="O2115" s="1856">
        <v>0</v>
      </c>
    </row>
    <row r="2116" spans="3:15" ht="13.5">
      <c r="C2116" s="1861" t="s">
        <v>5906</v>
      </c>
      <c r="D2116" s="1858">
        <v>0</v>
      </c>
      <c r="E2116" s="1858">
        <v>0</v>
      </c>
      <c r="F2116" s="1859">
        <v>0</v>
      </c>
      <c r="G2116" s="1872" t="s">
        <v>5906</v>
      </c>
      <c r="H2116" s="1856">
        <v>0</v>
      </c>
      <c r="I2116" s="1856">
        <v>0</v>
      </c>
      <c r="J2116" s="1873">
        <v>0</v>
      </c>
      <c r="K2116" s="1860"/>
      <c r="L2116" s="1854">
        <v>13273120400</v>
      </c>
      <c r="M2116" s="1855">
        <v>0</v>
      </c>
      <c r="N2116" s="1855">
        <v>0</v>
      </c>
      <c r="O2116" s="1856">
        <v>0</v>
      </c>
    </row>
    <row r="2117" spans="3:15" ht="13.5">
      <c r="C2117" s="1861" t="s">
        <v>5907</v>
      </c>
      <c r="D2117" s="1858">
        <v>0</v>
      </c>
      <c r="E2117" s="1858">
        <v>0</v>
      </c>
      <c r="F2117" s="1859">
        <v>0</v>
      </c>
      <c r="G2117" s="1872" t="s">
        <v>5907</v>
      </c>
      <c r="H2117" s="1856">
        <v>0</v>
      </c>
      <c r="I2117" s="1856">
        <v>0</v>
      </c>
      <c r="J2117" s="1873">
        <v>0</v>
      </c>
      <c r="K2117" s="1860"/>
      <c r="L2117" s="1854">
        <v>13273120500</v>
      </c>
      <c r="M2117" s="1855">
        <v>0</v>
      </c>
      <c r="N2117" s="1855">
        <v>0</v>
      </c>
      <c r="O2117" s="1856">
        <v>0</v>
      </c>
    </row>
    <row r="2118" spans="3:15" ht="13.5">
      <c r="C2118" s="1861" t="s">
        <v>5908</v>
      </c>
      <c r="D2118" s="1858">
        <v>0</v>
      </c>
      <c r="E2118" s="1858">
        <v>0</v>
      </c>
      <c r="F2118" s="1859">
        <v>0</v>
      </c>
      <c r="G2118" s="1872" t="s">
        <v>5908</v>
      </c>
      <c r="H2118" s="1856">
        <v>0</v>
      </c>
      <c r="I2118" s="1856">
        <v>0</v>
      </c>
      <c r="J2118" s="1873">
        <v>0</v>
      </c>
      <c r="K2118" s="1860"/>
      <c r="L2118" s="1854">
        <v>13275960100</v>
      </c>
      <c r="M2118" s="1855">
        <v>0</v>
      </c>
      <c r="N2118" s="1855">
        <v>0</v>
      </c>
      <c r="O2118" s="1856">
        <v>0</v>
      </c>
    </row>
    <row r="2119" spans="3:15" ht="13.5">
      <c r="C2119" s="1861" t="s">
        <v>5909</v>
      </c>
      <c r="D2119" s="1858">
        <v>0</v>
      </c>
      <c r="E2119" s="1858">
        <v>0</v>
      </c>
      <c r="F2119" s="1859">
        <v>0</v>
      </c>
      <c r="G2119" s="1872" t="s">
        <v>5909</v>
      </c>
      <c r="H2119" s="1856">
        <v>0</v>
      </c>
      <c r="I2119" s="1856">
        <v>0</v>
      </c>
      <c r="J2119" s="1873">
        <v>0</v>
      </c>
      <c r="K2119" s="1860"/>
      <c r="L2119" s="1854">
        <v>13275960200</v>
      </c>
      <c r="M2119" s="1855">
        <v>0</v>
      </c>
      <c r="N2119" s="1855">
        <v>0</v>
      </c>
      <c r="O2119" s="1856">
        <v>0</v>
      </c>
    </row>
    <row r="2120" spans="3:15" ht="13.5">
      <c r="C2120" s="1861" t="s">
        <v>5910</v>
      </c>
      <c r="D2120" s="1858">
        <v>0</v>
      </c>
      <c r="E2120" s="1858">
        <v>0</v>
      </c>
      <c r="F2120" s="1859">
        <v>0</v>
      </c>
      <c r="G2120" s="1872" t="s">
        <v>5910</v>
      </c>
      <c r="H2120" s="1856">
        <v>0</v>
      </c>
      <c r="I2120" s="1856">
        <v>0</v>
      </c>
      <c r="J2120" s="1873">
        <v>0</v>
      </c>
      <c r="K2120" s="1860"/>
      <c r="L2120" s="1854">
        <v>13275960300</v>
      </c>
      <c r="M2120" s="1855">
        <v>0</v>
      </c>
      <c r="N2120" s="1855">
        <v>0</v>
      </c>
      <c r="O2120" s="1856">
        <v>0</v>
      </c>
    </row>
    <row r="2121" spans="3:15" ht="13.5">
      <c r="C2121" s="1861" t="s">
        <v>5911</v>
      </c>
      <c r="D2121" s="1858">
        <v>0</v>
      </c>
      <c r="E2121" s="1858">
        <v>0</v>
      </c>
      <c r="F2121" s="1859">
        <v>0</v>
      </c>
      <c r="G2121" s="1872" t="s">
        <v>5911</v>
      </c>
      <c r="H2121" s="1856">
        <v>0</v>
      </c>
      <c r="I2121" s="1856">
        <v>0</v>
      </c>
      <c r="J2121" s="1873">
        <v>0</v>
      </c>
      <c r="K2121" s="1860"/>
      <c r="L2121" s="1854">
        <v>13275960400</v>
      </c>
      <c r="M2121" s="1855">
        <v>0</v>
      </c>
      <c r="N2121" s="1855">
        <v>0</v>
      </c>
      <c r="O2121" s="1856">
        <v>0</v>
      </c>
    </row>
    <row r="2122" spans="3:15" ht="13.5">
      <c r="C2122" s="1861" t="s">
        <v>5912</v>
      </c>
      <c r="D2122" s="1858">
        <v>0</v>
      </c>
      <c r="E2122" s="1858">
        <v>0</v>
      </c>
      <c r="F2122" s="1859">
        <v>0</v>
      </c>
      <c r="G2122" s="1872" t="s">
        <v>5912</v>
      </c>
      <c r="H2122" s="1856">
        <v>0</v>
      </c>
      <c r="I2122" s="1856">
        <v>0</v>
      </c>
      <c r="J2122" s="1873">
        <v>0</v>
      </c>
      <c r="K2122" s="1860"/>
      <c r="L2122" s="1854">
        <v>13275960500</v>
      </c>
      <c r="M2122" s="1855">
        <v>0</v>
      </c>
      <c r="N2122" s="1855">
        <v>0</v>
      </c>
      <c r="O2122" s="1856">
        <v>0</v>
      </c>
    </row>
    <row r="2123" spans="3:15" ht="13.5">
      <c r="C2123" s="1861" t="s">
        <v>5913</v>
      </c>
      <c r="D2123" s="1858">
        <v>1</v>
      </c>
      <c r="E2123" s="1858">
        <v>0</v>
      </c>
      <c r="F2123" s="1859">
        <v>1</v>
      </c>
      <c r="G2123" s="1872" t="s">
        <v>5913</v>
      </c>
      <c r="H2123" s="1856">
        <v>0</v>
      </c>
      <c r="I2123" s="1856">
        <v>0</v>
      </c>
      <c r="J2123" s="1873">
        <v>0</v>
      </c>
      <c r="K2123" s="1860"/>
      <c r="L2123" s="1854">
        <v>13275960600</v>
      </c>
      <c r="M2123" s="1855">
        <v>1</v>
      </c>
      <c r="N2123" s="1855">
        <v>0</v>
      </c>
      <c r="O2123" s="1856">
        <v>1</v>
      </c>
    </row>
    <row r="2124" spans="3:15" ht="13.5">
      <c r="C2124" s="1861" t="s">
        <v>5914</v>
      </c>
      <c r="D2124" s="1858">
        <v>0</v>
      </c>
      <c r="E2124" s="1858">
        <v>0</v>
      </c>
      <c r="F2124" s="1859">
        <v>0</v>
      </c>
      <c r="G2124" s="1872" t="s">
        <v>5914</v>
      </c>
      <c r="H2124" s="1856">
        <v>0</v>
      </c>
      <c r="I2124" s="1856">
        <v>0</v>
      </c>
      <c r="J2124" s="1873">
        <v>0</v>
      </c>
      <c r="K2124" s="1860"/>
      <c r="L2124" s="1854">
        <v>13275960700</v>
      </c>
      <c r="M2124" s="1855">
        <v>0</v>
      </c>
      <c r="N2124" s="1855">
        <v>0</v>
      </c>
      <c r="O2124" s="1856">
        <v>0</v>
      </c>
    </row>
    <row r="2125" spans="3:15" ht="13.5">
      <c r="C2125" s="1861" t="s">
        <v>5915</v>
      </c>
      <c r="D2125" s="1858">
        <v>0</v>
      </c>
      <c r="E2125" s="1858">
        <v>0</v>
      </c>
      <c r="F2125" s="1859">
        <v>0</v>
      </c>
      <c r="G2125" s="1872" t="s">
        <v>5915</v>
      </c>
      <c r="H2125" s="1856">
        <v>0</v>
      </c>
      <c r="I2125" s="1856">
        <v>0</v>
      </c>
      <c r="J2125" s="1873">
        <v>0</v>
      </c>
      <c r="K2125" s="1860"/>
      <c r="L2125" s="1854">
        <v>13275960800</v>
      </c>
      <c r="M2125" s="1855">
        <v>0</v>
      </c>
      <c r="N2125" s="1855">
        <v>0</v>
      </c>
      <c r="O2125" s="1856">
        <v>0</v>
      </c>
    </row>
    <row r="2126" spans="3:15" ht="13.5">
      <c r="C2126" s="1861" t="s">
        <v>5916</v>
      </c>
      <c r="D2126" s="1858">
        <v>0</v>
      </c>
      <c r="E2126" s="1858">
        <v>0</v>
      </c>
      <c r="F2126" s="1859">
        <v>0</v>
      </c>
      <c r="G2126" s="1872" t="s">
        <v>5916</v>
      </c>
      <c r="H2126" s="1856">
        <v>0</v>
      </c>
      <c r="I2126" s="1856">
        <v>0</v>
      </c>
      <c r="J2126" s="1873">
        <v>0</v>
      </c>
      <c r="K2126" s="1860"/>
      <c r="L2126" s="1854">
        <v>13275960900</v>
      </c>
      <c r="M2126" s="1855">
        <v>0</v>
      </c>
      <c r="N2126" s="1855">
        <v>0</v>
      </c>
      <c r="O2126" s="1856">
        <v>0</v>
      </c>
    </row>
    <row r="2127" spans="3:15" ht="13.5">
      <c r="C2127" s="1861" t="s">
        <v>5917</v>
      </c>
      <c r="D2127" s="1858">
        <v>0</v>
      </c>
      <c r="E2127" s="1858">
        <v>0</v>
      </c>
      <c r="F2127" s="1859">
        <v>0</v>
      </c>
      <c r="G2127" s="1872" t="s">
        <v>5917</v>
      </c>
      <c r="H2127" s="1856">
        <v>1</v>
      </c>
      <c r="I2127" s="1856">
        <v>1</v>
      </c>
      <c r="J2127" s="1873">
        <v>2</v>
      </c>
      <c r="K2127" s="1860"/>
      <c r="L2127" s="1854">
        <v>13275961000</v>
      </c>
      <c r="M2127" s="1855">
        <v>1</v>
      </c>
      <c r="N2127" s="1855">
        <v>1</v>
      </c>
      <c r="O2127" s="1856">
        <v>2</v>
      </c>
    </row>
    <row r="2128" spans="3:15" ht="13.5">
      <c r="C2128" s="1861" t="s">
        <v>5918</v>
      </c>
      <c r="D2128" s="1858">
        <v>0</v>
      </c>
      <c r="E2128" s="1858">
        <v>0</v>
      </c>
      <c r="F2128" s="1859">
        <v>0</v>
      </c>
      <c r="G2128" s="1872" t="s">
        <v>5918</v>
      </c>
      <c r="H2128" s="1856">
        <v>0</v>
      </c>
      <c r="I2128" s="1856">
        <v>1</v>
      </c>
      <c r="J2128" s="1873">
        <v>1</v>
      </c>
      <c r="K2128" s="1860"/>
      <c r="L2128" s="1854">
        <v>13275961100</v>
      </c>
      <c r="M2128" s="1855">
        <v>0</v>
      </c>
      <c r="N2128" s="1855">
        <v>1</v>
      </c>
      <c r="O2128" s="1856">
        <v>1</v>
      </c>
    </row>
    <row r="2129" spans="3:15" ht="13.5">
      <c r="C2129" s="1861" t="s">
        <v>5919</v>
      </c>
      <c r="D2129" s="1858">
        <v>1</v>
      </c>
      <c r="E2129" s="1858">
        <v>1</v>
      </c>
      <c r="F2129" s="1859">
        <v>2</v>
      </c>
      <c r="G2129" s="1872" t="s">
        <v>5919</v>
      </c>
      <c r="H2129" s="1856">
        <v>1</v>
      </c>
      <c r="I2129" s="1856">
        <v>0</v>
      </c>
      <c r="J2129" s="1873">
        <v>1</v>
      </c>
      <c r="K2129" s="1860"/>
      <c r="L2129" s="1854">
        <v>13277960100</v>
      </c>
      <c r="M2129" s="1855">
        <v>1</v>
      </c>
      <c r="N2129" s="1855">
        <v>1</v>
      </c>
      <c r="O2129" s="1856">
        <v>2</v>
      </c>
    </row>
    <row r="2130" spans="3:15" ht="13.5">
      <c r="C2130" s="1861" t="s">
        <v>5920</v>
      </c>
      <c r="D2130" s="1858">
        <v>1</v>
      </c>
      <c r="E2130" s="1858">
        <v>0</v>
      </c>
      <c r="F2130" s="1859">
        <v>1</v>
      </c>
      <c r="G2130" s="1872" t="s">
        <v>5920</v>
      </c>
      <c r="H2130" s="1856">
        <v>0</v>
      </c>
      <c r="I2130" s="1856">
        <v>0</v>
      </c>
      <c r="J2130" s="1873">
        <v>0</v>
      </c>
      <c r="K2130" s="1860"/>
      <c r="L2130" s="1854">
        <v>13277960200</v>
      </c>
      <c r="M2130" s="1855">
        <v>1</v>
      </c>
      <c r="N2130" s="1855">
        <v>0</v>
      </c>
      <c r="O2130" s="1856">
        <v>1</v>
      </c>
    </row>
    <row r="2131" spans="3:15" ht="13.5">
      <c r="C2131" s="1861" t="s">
        <v>5921</v>
      </c>
      <c r="D2131" s="1858">
        <v>0</v>
      </c>
      <c r="E2131" s="1858">
        <v>0</v>
      </c>
      <c r="F2131" s="1859">
        <v>0</v>
      </c>
      <c r="G2131" s="1872" t="s">
        <v>5921</v>
      </c>
      <c r="H2131" s="1856">
        <v>1</v>
      </c>
      <c r="I2131" s="1856">
        <v>0</v>
      </c>
      <c r="J2131" s="1873">
        <v>1</v>
      </c>
      <c r="K2131" s="1860"/>
      <c r="L2131" s="1854">
        <v>13277960300</v>
      </c>
      <c r="M2131" s="1855">
        <v>1</v>
      </c>
      <c r="N2131" s="1855">
        <v>0</v>
      </c>
      <c r="O2131" s="1856">
        <v>1</v>
      </c>
    </row>
    <row r="2132" spans="3:15" ht="13.5">
      <c r="C2132" s="1861" t="s">
        <v>5922</v>
      </c>
      <c r="D2132" s="1858">
        <v>0</v>
      </c>
      <c r="E2132" s="1858">
        <v>0</v>
      </c>
      <c r="F2132" s="1859">
        <v>0</v>
      </c>
      <c r="G2132" s="1872" t="s">
        <v>5922</v>
      </c>
      <c r="H2132" s="1856">
        <v>0</v>
      </c>
      <c r="I2132" s="1856">
        <v>0</v>
      </c>
      <c r="J2132" s="1873">
        <v>0</v>
      </c>
      <c r="K2132" s="1860"/>
      <c r="L2132" s="1854">
        <v>13277960400</v>
      </c>
      <c r="M2132" s="1855">
        <v>0</v>
      </c>
      <c r="N2132" s="1855">
        <v>0</v>
      </c>
      <c r="O2132" s="1856">
        <v>0</v>
      </c>
    </row>
    <row r="2133" spans="3:15" ht="13.5">
      <c r="C2133" s="1861" t="s">
        <v>5923</v>
      </c>
      <c r="D2133" s="1858">
        <v>1</v>
      </c>
      <c r="E2133" s="1858">
        <v>0</v>
      </c>
      <c r="F2133" s="1859">
        <v>1</v>
      </c>
      <c r="G2133" s="1872" t="s">
        <v>5923</v>
      </c>
      <c r="H2133" s="1856">
        <v>1</v>
      </c>
      <c r="I2133" s="1856">
        <v>1</v>
      </c>
      <c r="J2133" s="1873">
        <v>2</v>
      </c>
      <c r="K2133" s="1860"/>
      <c r="L2133" s="1854">
        <v>13277960500</v>
      </c>
      <c r="M2133" s="1855">
        <v>1</v>
      </c>
      <c r="N2133" s="1855">
        <v>1</v>
      </c>
      <c r="O2133" s="1856">
        <v>2</v>
      </c>
    </row>
    <row r="2134" spans="3:15" ht="13.5">
      <c r="C2134" s="1861" t="s">
        <v>5924</v>
      </c>
      <c r="D2134" s="1858">
        <v>0</v>
      </c>
      <c r="E2134" s="1858">
        <v>0</v>
      </c>
      <c r="F2134" s="1859">
        <v>0</v>
      </c>
      <c r="G2134" s="1872" t="s">
        <v>5924</v>
      </c>
      <c r="H2134" s="1856">
        <v>0</v>
      </c>
      <c r="I2134" s="1856">
        <v>0</v>
      </c>
      <c r="J2134" s="1873">
        <v>0</v>
      </c>
      <c r="K2134" s="1860"/>
      <c r="L2134" s="1854">
        <v>13277960600</v>
      </c>
      <c r="M2134" s="1855">
        <v>0</v>
      </c>
      <c r="N2134" s="1855">
        <v>0</v>
      </c>
      <c r="O2134" s="1856">
        <v>0</v>
      </c>
    </row>
    <row r="2135" spans="3:15" ht="13.5">
      <c r="C2135" s="1861" t="s">
        <v>5925</v>
      </c>
      <c r="D2135" s="1858">
        <v>0</v>
      </c>
      <c r="E2135" s="1858">
        <v>0</v>
      </c>
      <c r="F2135" s="1859">
        <v>0</v>
      </c>
      <c r="G2135" s="1872" t="s">
        <v>5925</v>
      </c>
      <c r="H2135" s="1856">
        <v>0</v>
      </c>
      <c r="I2135" s="1856">
        <v>0</v>
      </c>
      <c r="J2135" s="1873">
        <v>0</v>
      </c>
      <c r="K2135" s="1860"/>
      <c r="L2135" s="1854">
        <v>13277960700</v>
      </c>
      <c r="M2135" s="1855">
        <v>0</v>
      </c>
      <c r="N2135" s="1855">
        <v>0</v>
      </c>
      <c r="O2135" s="1856">
        <v>0</v>
      </c>
    </row>
    <row r="2136" spans="3:15" ht="13.5">
      <c r="C2136" s="1861" t="s">
        <v>5926</v>
      </c>
      <c r="D2136" s="1858">
        <v>0</v>
      </c>
      <c r="E2136" s="1858">
        <v>0</v>
      </c>
      <c r="F2136" s="1859">
        <v>0</v>
      </c>
      <c r="G2136" s="1872" t="s">
        <v>5926</v>
      </c>
      <c r="H2136" s="1856">
        <v>0</v>
      </c>
      <c r="I2136" s="1856">
        <v>0</v>
      </c>
      <c r="J2136" s="1873">
        <v>0</v>
      </c>
      <c r="K2136" s="1860"/>
      <c r="L2136" s="1854">
        <v>13277960800</v>
      </c>
      <c r="M2136" s="1855">
        <v>0</v>
      </c>
      <c r="N2136" s="1855">
        <v>0</v>
      </c>
      <c r="O2136" s="1856">
        <v>0</v>
      </c>
    </row>
    <row r="2137" spans="3:15" ht="13.5">
      <c r="C2137" s="1861" t="s">
        <v>5927</v>
      </c>
      <c r="D2137" s="1858">
        <v>0</v>
      </c>
      <c r="E2137" s="1858">
        <v>0</v>
      </c>
      <c r="F2137" s="1859">
        <v>0</v>
      </c>
      <c r="G2137" s="1872" t="s">
        <v>5927</v>
      </c>
      <c r="H2137" s="1856">
        <v>0</v>
      </c>
      <c r="I2137" s="1856">
        <v>0</v>
      </c>
      <c r="J2137" s="1873">
        <v>0</v>
      </c>
      <c r="K2137" s="1860"/>
      <c r="L2137" s="1854">
        <v>13277960900</v>
      </c>
      <c r="M2137" s="1855">
        <v>0</v>
      </c>
      <c r="N2137" s="1855">
        <v>0</v>
      </c>
      <c r="O2137" s="1856">
        <v>0</v>
      </c>
    </row>
    <row r="2138" spans="3:15" ht="13.5">
      <c r="C2138" s="1861" t="s">
        <v>5928</v>
      </c>
      <c r="D2138" s="1858">
        <v>0</v>
      </c>
      <c r="E2138" s="1858">
        <v>0</v>
      </c>
      <c r="F2138" s="1859">
        <v>0</v>
      </c>
      <c r="G2138" s="1872" t="s">
        <v>5928</v>
      </c>
      <c r="H2138" s="1856">
        <v>0</v>
      </c>
      <c r="I2138" s="1856">
        <v>0</v>
      </c>
      <c r="J2138" s="1873">
        <v>0</v>
      </c>
      <c r="K2138" s="1860"/>
      <c r="L2138" s="1854">
        <v>13279970100</v>
      </c>
      <c r="M2138" s="1855">
        <v>0</v>
      </c>
      <c r="N2138" s="1855">
        <v>0</v>
      </c>
      <c r="O2138" s="1856">
        <v>0</v>
      </c>
    </row>
    <row r="2139" spans="3:15" ht="13.5">
      <c r="C2139" s="1861" t="s">
        <v>5929</v>
      </c>
      <c r="D2139" s="1858">
        <v>0</v>
      </c>
      <c r="E2139" s="1858">
        <v>0</v>
      </c>
      <c r="F2139" s="1859">
        <v>0</v>
      </c>
      <c r="G2139" s="1872" t="s">
        <v>5929</v>
      </c>
      <c r="H2139" s="1856">
        <v>0</v>
      </c>
      <c r="I2139" s="1856">
        <v>0</v>
      </c>
      <c r="J2139" s="1873">
        <v>0</v>
      </c>
      <c r="K2139" s="1860"/>
      <c r="L2139" s="1854">
        <v>13279970200</v>
      </c>
      <c r="M2139" s="1855">
        <v>0</v>
      </c>
      <c r="N2139" s="1855">
        <v>0</v>
      </c>
      <c r="O2139" s="1856">
        <v>0</v>
      </c>
    </row>
    <row r="2140" spans="3:15" ht="13.5">
      <c r="C2140" s="1861" t="s">
        <v>5930</v>
      </c>
      <c r="D2140" s="1858">
        <v>0</v>
      </c>
      <c r="E2140" s="1858">
        <v>0</v>
      </c>
      <c r="F2140" s="1859">
        <v>0</v>
      </c>
      <c r="G2140" s="1872" t="s">
        <v>5930</v>
      </c>
      <c r="H2140" s="1856">
        <v>0</v>
      </c>
      <c r="I2140" s="1856">
        <v>0</v>
      </c>
      <c r="J2140" s="1873">
        <v>0</v>
      </c>
      <c r="K2140" s="1860"/>
      <c r="L2140" s="1854">
        <v>13279970300</v>
      </c>
      <c r="M2140" s="1855">
        <v>0</v>
      </c>
      <c r="N2140" s="1855">
        <v>0</v>
      </c>
      <c r="O2140" s="1856">
        <v>0</v>
      </c>
    </row>
    <row r="2141" spans="3:15" ht="13.5">
      <c r="C2141" s="1861" t="s">
        <v>5931</v>
      </c>
      <c r="D2141" s="1858">
        <v>0</v>
      </c>
      <c r="E2141" s="1858">
        <v>0</v>
      </c>
      <c r="F2141" s="1859">
        <v>0</v>
      </c>
      <c r="G2141" s="1872" t="s">
        <v>5931</v>
      </c>
      <c r="H2141" s="1856">
        <v>0</v>
      </c>
      <c r="I2141" s="1856">
        <v>0</v>
      </c>
      <c r="J2141" s="1873">
        <v>0</v>
      </c>
      <c r="K2141" s="1860"/>
      <c r="L2141" s="1854">
        <v>13279970400</v>
      </c>
      <c r="M2141" s="1855">
        <v>0</v>
      </c>
      <c r="N2141" s="1855">
        <v>0</v>
      </c>
      <c r="O2141" s="1856">
        <v>0</v>
      </c>
    </row>
    <row r="2142" spans="3:15" ht="13.5">
      <c r="C2142" s="1861" t="s">
        <v>5932</v>
      </c>
      <c r="D2142" s="1858">
        <v>0</v>
      </c>
      <c r="E2142" s="1858">
        <v>0</v>
      </c>
      <c r="F2142" s="1859">
        <v>0</v>
      </c>
      <c r="G2142" s="1872" t="s">
        <v>5932</v>
      </c>
      <c r="H2142" s="1856">
        <v>0</v>
      </c>
      <c r="I2142" s="1856">
        <v>0</v>
      </c>
      <c r="J2142" s="1873">
        <v>0</v>
      </c>
      <c r="K2142" s="1860"/>
      <c r="L2142" s="1854">
        <v>13279970500</v>
      </c>
      <c r="M2142" s="1855">
        <v>0</v>
      </c>
      <c r="N2142" s="1855">
        <v>0</v>
      </c>
      <c r="O2142" s="1856">
        <v>0</v>
      </c>
    </row>
    <row r="2143" spans="3:15" ht="13.5">
      <c r="C2143" s="1861" t="s">
        <v>5933</v>
      </c>
      <c r="D2143" s="1858">
        <v>0</v>
      </c>
      <c r="E2143" s="1858">
        <v>0</v>
      </c>
      <c r="F2143" s="1859">
        <v>0</v>
      </c>
      <c r="G2143" s="1872" t="s">
        <v>5933</v>
      </c>
      <c r="H2143" s="1856">
        <v>0</v>
      </c>
      <c r="I2143" s="1856">
        <v>0</v>
      </c>
      <c r="J2143" s="1873">
        <v>0</v>
      </c>
      <c r="K2143" s="1860"/>
      <c r="L2143" s="1854">
        <v>13279970600</v>
      </c>
      <c r="M2143" s="1855">
        <v>0</v>
      </c>
      <c r="N2143" s="1855">
        <v>0</v>
      </c>
      <c r="O2143" s="1856">
        <v>0</v>
      </c>
    </row>
    <row r="2144" spans="3:15" ht="13.5">
      <c r="C2144" s="1861" t="s">
        <v>5934</v>
      </c>
      <c r="D2144" s="1858">
        <v>0</v>
      </c>
      <c r="E2144" s="1858">
        <v>0</v>
      </c>
      <c r="F2144" s="1859">
        <v>0</v>
      </c>
      <c r="G2144" s="1872" t="s">
        <v>5934</v>
      </c>
      <c r="H2144" s="1856">
        <v>0</v>
      </c>
      <c r="I2144" s="1856">
        <v>1</v>
      </c>
      <c r="J2144" s="1873">
        <v>1</v>
      </c>
      <c r="K2144" s="1860"/>
      <c r="L2144" s="1854">
        <v>13281960100</v>
      </c>
      <c r="M2144" s="1855">
        <v>0</v>
      </c>
      <c r="N2144" s="1855">
        <v>1</v>
      </c>
      <c r="O2144" s="1856">
        <v>1</v>
      </c>
    </row>
    <row r="2145" spans="3:15" ht="13.5">
      <c r="C2145" s="1861" t="s">
        <v>5935</v>
      </c>
      <c r="D2145" s="1858">
        <v>1</v>
      </c>
      <c r="E2145" s="1858">
        <v>1</v>
      </c>
      <c r="F2145" s="1859">
        <v>2</v>
      </c>
      <c r="G2145" s="1872" t="s">
        <v>5935</v>
      </c>
      <c r="H2145" s="1856">
        <v>0</v>
      </c>
      <c r="I2145" s="1856">
        <v>1</v>
      </c>
      <c r="J2145" s="1873">
        <v>1</v>
      </c>
      <c r="K2145" s="1860"/>
      <c r="L2145" s="1854">
        <v>13281960200</v>
      </c>
      <c r="M2145" s="1855">
        <v>1</v>
      </c>
      <c r="N2145" s="1855">
        <v>1</v>
      </c>
      <c r="O2145" s="1856">
        <v>2</v>
      </c>
    </row>
    <row r="2146" spans="3:15" ht="13.5">
      <c r="C2146" s="1861" t="s">
        <v>5936</v>
      </c>
      <c r="D2146" s="1858">
        <v>0</v>
      </c>
      <c r="E2146" s="1858">
        <v>0</v>
      </c>
      <c r="F2146" s="1859">
        <v>0</v>
      </c>
      <c r="G2146" s="1872" t="s">
        <v>5936</v>
      </c>
      <c r="H2146" s="1856">
        <v>0</v>
      </c>
      <c r="I2146" s="1856">
        <v>0</v>
      </c>
      <c r="J2146" s="1873">
        <v>0</v>
      </c>
      <c r="K2146" s="1860"/>
      <c r="L2146" s="1854">
        <v>13281960300</v>
      </c>
      <c r="M2146" s="1855">
        <v>0</v>
      </c>
      <c r="N2146" s="1855">
        <v>0</v>
      </c>
      <c r="O2146" s="1856">
        <v>0</v>
      </c>
    </row>
    <row r="2147" spans="3:15" ht="13.5">
      <c r="C2147" s="1861" t="s">
        <v>5937</v>
      </c>
      <c r="D2147" s="1858">
        <v>0</v>
      </c>
      <c r="E2147" s="1858">
        <v>0</v>
      </c>
      <c r="F2147" s="1859">
        <v>0</v>
      </c>
      <c r="G2147" s="1872" t="s">
        <v>5937</v>
      </c>
      <c r="H2147" s="1856">
        <v>0</v>
      </c>
      <c r="I2147" s="1856">
        <v>0</v>
      </c>
      <c r="J2147" s="1873">
        <v>0</v>
      </c>
      <c r="K2147" s="1860"/>
      <c r="L2147" s="1854">
        <v>13283960100</v>
      </c>
      <c r="M2147" s="1855">
        <v>0</v>
      </c>
      <c r="N2147" s="1855">
        <v>0</v>
      </c>
      <c r="O2147" s="1856">
        <v>0</v>
      </c>
    </row>
    <row r="2148" spans="3:15" ht="13.5">
      <c r="C2148" s="1861" t="s">
        <v>5938</v>
      </c>
      <c r="D2148" s="1858">
        <v>0</v>
      </c>
      <c r="E2148" s="1858">
        <v>0</v>
      </c>
      <c r="F2148" s="1859">
        <v>0</v>
      </c>
      <c r="G2148" s="1872" t="s">
        <v>5938</v>
      </c>
      <c r="H2148" s="1856">
        <v>0</v>
      </c>
      <c r="I2148" s="1856">
        <v>0</v>
      </c>
      <c r="J2148" s="1873">
        <v>0</v>
      </c>
      <c r="K2148" s="1860"/>
      <c r="L2148" s="1854">
        <v>13283960200</v>
      </c>
      <c r="M2148" s="1855">
        <v>0</v>
      </c>
      <c r="N2148" s="1855">
        <v>0</v>
      </c>
      <c r="O2148" s="1856">
        <v>0</v>
      </c>
    </row>
    <row r="2149" spans="3:15" ht="13.5">
      <c r="C2149" s="1861" t="s">
        <v>5939</v>
      </c>
      <c r="D2149" s="1858">
        <v>0</v>
      </c>
      <c r="E2149" s="1858">
        <v>0</v>
      </c>
      <c r="F2149" s="1859">
        <v>0</v>
      </c>
      <c r="G2149" s="1872" t="s">
        <v>5939</v>
      </c>
      <c r="H2149" s="1856">
        <v>0</v>
      </c>
      <c r="I2149" s="1856">
        <v>0</v>
      </c>
      <c r="J2149" s="1873">
        <v>0</v>
      </c>
      <c r="K2149" s="1860"/>
      <c r="L2149" s="1854">
        <v>13285960100</v>
      </c>
      <c r="M2149" s="1855">
        <v>0</v>
      </c>
      <c r="N2149" s="1855">
        <v>0</v>
      </c>
      <c r="O2149" s="1856">
        <v>0</v>
      </c>
    </row>
    <row r="2150" spans="3:15" ht="13.5">
      <c r="C2150" s="1861" t="s">
        <v>5940</v>
      </c>
      <c r="D2150" s="1858">
        <v>1</v>
      </c>
      <c r="E2150" s="1858">
        <v>1</v>
      </c>
      <c r="F2150" s="1859">
        <v>2</v>
      </c>
      <c r="G2150" s="1872" t="s">
        <v>5940</v>
      </c>
      <c r="H2150" s="1856">
        <v>1</v>
      </c>
      <c r="I2150" s="1856">
        <v>1</v>
      </c>
      <c r="J2150" s="1873">
        <v>2</v>
      </c>
      <c r="K2150" s="1860"/>
      <c r="L2150" s="1854">
        <v>13285960201</v>
      </c>
      <c r="M2150" s="1855">
        <v>1</v>
      </c>
      <c r="N2150" s="1855">
        <v>1</v>
      </c>
      <c r="O2150" s="1856">
        <v>2</v>
      </c>
    </row>
    <row r="2151" spans="3:15" ht="13.5">
      <c r="C2151" s="1861" t="s">
        <v>5941</v>
      </c>
      <c r="D2151" s="1858">
        <v>1</v>
      </c>
      <c r="E2151" s="1858">
        <v>1</v>
      </c>
      <c r="F2151" s="1859">
        <v>2</v>
      </c>
      <c r="G2151" s="1872" t="s">
        <v>5941</v>
      </c>
      <c r="H2151" s="1856">
        <v>1</v>
      </c>
      <c r="I2151" s="1856">
        <v>1</v>
      </c>
      <c r="J2151" s="1873">
        <v>2</v>
      </c>
      <c r="K2151" s="1860"/>
      <c r="L2151" s="1854">
        <v>13285960202</v>
      </c>
      <c r="M2151" s="1855">
        <v>1</v>
      </c>
      <c r="N2151" s="1855">
        <v>1</v>
      </c>
      <c r="O2151" s="1856">
        <v>2</v>
      </c>
    </row>
    <row r="2152" spans="3:15" ht="13.5">
      <c r="C2152" s="1861" t="s">
        <v>5942</v>
      </c>
      <c r="D2152" s="1858">
        <v>1</v>
      </c>
      <c r="E2152" s="1858">
        <v>1</v>
      </c>
      <c r="F2152" s="1859">
        <v>2</v>
      </c>
      <c r="G2152" s="1872" t="s">
        <v>5942</v>
      </c>
      <c r="H2152" s="1856">
        <v>1</v>
      </c>
      <c r="I2152" s="1856">
        <v>1</v>
      </c>
      <c r="J2152" s="1873">
        <v>2</v>
      </c>
      <c r="K2152" s="1860"/>
      <c r="L2152" s="1854">
        <v>13285960300</v>
      </c>
      <c r="M2152" s="1855">
        <v>1</v>
      </c>
      <c r="N2152" s="1855">
        <v>1</v>
      </c>
      <c r="O2152" s="1856">
        <v>2</v>
      </c>
    </row>
    <row r="2153" spans="3:15" ht="13.5">
      <c r="C2153" s="1861" t="s">
        <v>5943</v>
      </c>
      <c r="D2153" s="1858">
        <v>0</v>
      </c>
      <c r="E2153" s="1858">
        <v>0</v>
      </c>
      <c r="F2153" s="1859">
        <v>0</v>
      </c>
      <c r="G2153" s="1872" t="s">
        <v>5943</v>
      </c>
      <c r="H2153" s="1856">
        <v>0</v>
      </c>
      <c r="I2153" s="1856">
        <v>0</v>
      </c>
      <c r="J2153" s="1873">
        <v>0</v>
      </c>
      <c r="K2153" s="1860"/>
      <c r="L2153" s="1854">
        <v>13285960400</v>
      </c>
      <c r="M2153" s="1855">
        <v>0</v>
      </c>
      <c r="N2153" s="1855">
        <v>0</v>
      </c>
      <c r="O2153" s="1856">
        <v>0</v>
      </c>
    </row>
    <row r="2154" spans="3:15" ht="13.5">
      <c r="C2154" s="1861" t="s">
        <v>5944</v>
      </c>
      <c r="D2154" s="1858">
        <v>0</v>
      </c>
      <c r="E2154" s="1858">
        <v>0</v>
      </c>
      <c r="F2154" s="1859">
        <v>0</v>
      </c>
      <c r="G2154" s="1872" t="s">
        <v>5944</v>
      </c>
      <c r="H2154" s="1856">
        <v>0</v>
      </c>
      <c r="I2154" s="1856">
        <v>0</v>
      </c>
      <c r="J2154" s="1873">
        <v>0</v>
      </c>
      <c r="K2154" s="1860"/>
      <c r="L2154" s="1854">
        <v>13285960501</v>
      </c>
      <c r="M2154" s="1855">
        <v>0</v>
      </c>
      <c r="N2154" s="1855">
        <v>0</v>
      </c>
      <c r="O2154" s="1856">
        <v>0</v>
      </c>
    </row>
    <row r="2155" spans="3:15" ht="13.5">
      <c r="C2155" s="1861" t="s">
        <v>5945</v>
      </c>
      <c r="D2155" s="1858">
        <v>0</v>
      </c>
      <c r="E2155" s="1858">
        <v>0</v>
      </c>
      <c r="F2155" s="1859">
        <v>0</v>
      </c>
      <c r="G2155" s="1872" t="s">
        <v>5945</v>
      </c>
      <c r="H2155" s="1856">
        <v>0</v>
      </c>
      <c r="I2155" s="1856">
        <v>1</v>
      </c>
      <c r="J2155" s="1873">
        <v>1</v>
      </c>
      <c r="K2155" s="1860"/>
      <c r="L2155" s="1854">
        <v>13285960502</v>
      </c>
      <c r="M2155" s="1855">
        <v>0</v>
      </c>
      <c r="N2155" s="1855">
        <v>1</v>
      </c>
      <c r="O2155" s="1856">
        <v>1</v>
      </c>
    </row>
    <row r="2156" spans="3:15" ht="13.5">
      <c r="C2156" s="1861" t="s">
        <v>5946</v>
      </c>
      <c r="D2156" s="1858">
        <v>0</v>
      </c>
      <c r="E2156" s="1858">
        <v>0</v>
      </c>
      <c r="F2156" s="1859">
        <v>0</v>
      </c>
      <c r="G2156" s="1872" t="s">
        <v>5946</v>
      </c>
      <c r="H2156" s="1856">
        <v>0</v>
      </c>
      <c r="I2156" s="1856">
        <v>0</v>
      </c>
      <c r="J2156" s="1873">
        <v>0</v>
      </c>
      <c r="K2156" s="1860"/>
      <c r="L2156" s="1854">
        <v>13285960600</v>
      </c>
      <c r="M2156" s="1855">
        <v>0</v>
      </c>
      <c r="N2156" s="1855">
        <v>0</v>
      </c>
      <c r="O2156" s="1856">
        <v>0</v>
      </c>
    </row>
    <row r="2157" spans="3:15" ht="13.5">
      <c r="C2157" s="1861" t="s">
        <v>5947</v>
      </c>
      <c r="D2157" s="1858">
        <v>0</v>
      </c>
      <c r="E2157" s="1858">
        <v>0</v>
      </c>
      <c r="F2157" s="1859">
        <v>0</v>
      </c>
      <c r="G2157" s="1872" t="s">
        <v>5947</v>
      </c>
      <c r="H2157" s="1856">
        <v>0</v>
      </c>
      <c r="I2157" s="1856">
        <v>1</v>
      </c>
      <c r="J2157" s="1873">
        <v>1</v>
      </c>
      <c r="K2157" s="1860"/>
      <c r="L2157" s="1854">
        <v>13285960700</v>
      </c>
      <c r="M2157" s="1855">
        <v>0</v>
      </c>
      <c r="N2157" s="1855">
        <v>1</v>
      </c>
      <c r="O2157" s="1856">
        <v>1</v>
      </c>
    </row>
    <row r="2158" spans="3:15" ht="13.5">
      <c r="C2158" s="1861" t="s">
        <v>5948</v>
      </c>
      <c r="D2158" s="1858">
        <v>0</v>
      </c>
      <c r="E2158" s="1858">
        <v>0</v>
      </c>
      <c r="F2158" s="1859">
        <v>0</v>
      </c>
      <c r="G2158" s="1872" t="s">
        <v>5948</v>
      </c>
      <c r="H2158" s="1856">
        <v>0</v>
      </c>
      <c r="I2158" s="1856">
        <v>0</v>
      </c>
      <c r="J2158" s="1873">
        <v>0</v>
      </c>
      <c r="K2158" s="1860"/>
      <c r="L2158" s="1854">
        <v>13285960800</v>
      </c>
      <c r="M2158" s="1855">
        <v>0</v>
      </c>
      <c r="N2158" s="1855">
        <v>0</v>
      </c>
      <c r="O2158" s="1856">
        <v>0</v>
      </c>
    </row>
    <row r="2159" spans="3:15" ht="13.5">
      <c r="C2159" s="1861" t="s">
        <v>5949</v>
      </c>
      <c r="D2159" s="1858">
        <v>0</v>
      </c>
      <c r="E2159" s="1858">
        <v>0</v>
      </c>
      <c r="F2159" s="1859">
        <v>0</v>
      </c>
      <c r="G2159" s="1872" t="s">
        <v>5949</v>
      </c>
      <c r="H2159" s="1856">
        <v>0</v>
      </c>
      <c r="I2159" s="1856">
        <v>0</v>
      </c>
      <c r="J2159" s="1873">
        <v>0</v>
      </c>
      <c r="K2159" s="1860"/>
      <c r="L2159" s="1854">
        <v>13285960901</v>
      </c>
      <c r="M2159" s="1855">
        <v>0</v>
      </c>
      <c r="N2159" s="1855">
        <v>0</v>
      </c>
      <c r="O2159" s="1856">
        <v>0</v>
      </c>
    </row>
    <row r="2160" spans="3:15" ht="13.5">
      <c r="C2160" s="1861" t="s">
        <v>5950</v>
      </c>
      <c r="D2160" s="1858">
        <v>1</v>
      </c>
      <c r="E2160" s="1858">
        <v>1</v>
      </c>
      <c r="F2160" s="1859">
        <v>2</v>
      </c>
      <c r="G2160" s="1872" t="s">
        <v>5950</v>
      </c>
      <c r="H2160" s="1856">
        <v>0</v>
      </c>
      <c r="I2160" s="1856">
        <v>0</v>
      </c>
      <c r="J2160" s="1873">
        <v>0</v>
      </c>
      <c r="K2160" s="1860"/>
      <c r="L2160" s="1854">
        <v>13285960902</v>
      </c>
      <c r="M2160" s="1855">
        <v>1</v>
      </c>
      <c r="N2160" s="1855">
        <v>1</v>
      </c>
      <c r="O2160" s="1856">
        <v>2</v>
      </c>
    </row>
    <row r="2161" spans="3:15" ht="13.5">
      <c r="C2161" s="1861" t="s">
        <v>5951</v>
      </c>
      <c r="D2161" s="1858">
        <v>0</v>
      </c>
      <c r="E2161" s="1858">
        <v>0</v>
      </c>
      <c r="F2161" s="1859">
        <v>0</v>
      </c>
      <c r="G2161" s="1872" t="s">
        <v>5951</v>
      </c>
      <c r="H2161" s="1856">
        <v>0</v>
      </c>
      <c r="I2161" s="1856">
        <v>0</v>
      </c>
      <c r="J2161" s="1873">
        <v>0</v>
      </c>
      <c r="K2161" s="1860"/>
      <c r="L2161" s="1854">
        <v>13285961000</v>
      </c>
      <c r="M2161" s="1855">
        <v>0</v>
      </c>
      <c r="N2161" s="1855">
        <v>0</v>
      </c>
      <c r="O2161" s="1856">
        <v>0</v>
      </c>
    </row>
    <row r="2162" spans="3:15" ht="13.5">
      <c r="C2162" s="1861" t="s">
        <v>5952</v>
      </c>
      <c r="D2162" s="1858">
        <v>1</v>
      </c>
      <c r="E2162" s="1858">
        <v>0</v>
      </c>
      <c r="F2162" s="1859">
        <v>1</v>
      </c>
      <c r="G2162" s="1872" t="s">
        <v>5952</v>
      </c>
      <c r="H2162" s="1856">
        <v>0</v>
      </c>
      <c r="I2162" s="1856">
        <v>1</v>
      </c>
      <c r="J2162" s="1873">
        <v>1</v>
      </c>
      <c r="K2162" s="1860"/>
      <c r="L2162" s="1854">
        <v>13285961100</v>
      </c>
      <c r="M2162" s="1855">
        <v>1</v>
      </c>
      <c r="N2162" s="1855">
        <v>1</v>
      </c>
      <c r="O2162" s="1856">
        <v>1</v>
      </c>
    </row>
    <row r="2163" spans="3:15" ht="13.5">
      <c r="C2163" s="1861" t="s">
        <v>5953</v>
      </c>
      <c r="D2163" s="1858">
        <v>0</v>
      </c>
      <c r="E2163" s="1858">
        <v>0</v>
      </c>
      <c r="F2163" s="1859">
        <v>0</v>
      </c>
      <c r="G2163" s="1872" t="s">
        <v>5953</v>
      </c>
      <c r="H2163" s="1856">
        <v>0</v>
      </c>
      <c r="I2163" s="1856">
        <v>0</v>
      </c>
      <c r="J2163" s="1873">
        <v>0</v>
      </c>
      <c r="K2163" s="1860"/>
      <c r="L2163" s="1854">
        <v>13287970200</v>
      </c>
      <c r="M2163" s="1855">
        <v>0</v>
      </c>
      <c r="N2163" s="1855">
        <v>0</v>
      </c>
      <c r="O2163" s="1856">
        <v>0</v>
      </c>
    </row>
    <row r="2164" spans="3:15" ht="13.5">
      <c r="C2164" s="1861" t="s">
        <v>5954</v>
      </c>
      <c r="D2164" s="1858">
        <v>0</v>
      </c>
      <c r="E2164" s="1858">
        <v>1</v>
      </c>
      <c r="F2164" s="1859">
        <v>1</v>
      </c>
      <c r="G2164" s="1872" t="s">
        <v>5954</v>
      </c>
      <c r="H2164" s="1856">
        <v>0</v>
      </c>
      <c r="I2164" s="1856">
        <v>0</v>
      </c>
      <c r="J2164" s="1873">
        <v>0</v>
      </c>
      <c r="K2164" s="1860"/>
      <c r="L2164" s="1854">
        <v>13287970300</v>
      </c>
      <c r="M2164" s="1855">
        <v>0</v>
      </c>
      <c r="N2164" s="1855">
        <v>1</v>
      </c>
      <c r="O2164" s="1856">
        <v>1</v>
      </c>
    </row>
    <row r="2165" spans="3:15" ht="13.5">
      <c r="C2165" s="1861" t="s">
        <v>5955</v>
      </c>
      <c r="D2165" s="1858">
        <v>0</v>
      </c>
      <c r="E2165" s="1858">
        <v>0</v>
      </c>
      <c r="F2165" s="1859">
        <v>0</v>
      </c>
      <c r="G2165" s="1872" t="s">
        <v>5955</v>
      </c>
      <c r="H2165" s="1856">
        <v>0</v>
      </c>
      <c r="I2165" s="1856">
        <v>0</v>
      </c>
      <c r="J2165" s="1873">
        <v>0</v>
      </c>
      <c r="K2165" s="1860"/>
      <c r="L2165" s="1854">
        <v>13289060100</v>
      </c>
      <c r="M2165" s="1855">
        <v>0</v>
      </c>
      <c r="N2165" s="1855">
        <v>0</v>
      </c>
      <c r="O2165" s="1856">
        <v>0</v>
      </c>
    </row>
    <row r="2166" spans="3:15" ht="13.5">
      <c r="C2166" s="1861" t="s">
        <v>5956</v>
      </c>
      <c r="D2166" s="1858">
        <v>0</v>
      </c>
      <c r="E2166" s="1858">
        <v>0</v>
      </c>
      <c r="F2166" s="1859">
        <v>0</v>
      </c>
      <c r="G2166" s="1872" t="s">
        <v>5956</v>
      </c>
      <c r="H2166" s="1856">
        <v>0</v>
      </c>
      <c r="I2166" s="1856">
        <v>0</v>
      </c>
      <c r="J2166" s="1873">
        <v>0</v>
      </c>
      <c r="K2166" s="1860"/>
      <c r="L2166" s="1854">
        <v>13289060200</v>
      </c>
      <c r="M2166" s="1855">
        <v>0</v>
      </c>
      <c r="N2166" s="1855">
        <v>0</v>
      </c>
      <c r="O2166" s="1856">
        <v>0</v>
      </c>
    </row>
    <row r="2167" spans="3:15" ht="13.5">
      <c r="C2167" s="1861" t="s">
        <v>5957</v>
      </c>
      <c r="D2167" s="1858">
        <v>0</v>
      </c>
      <c r="E2167" s="1858">
        <v>0</v>
      </c>
      <c r="F2167" s="1859">
        <v>0</v>
      </c>
      <c r="G2167" s="1872" t="s">
        <v>5957</v>
      </c>
      <c r="H2167" s="1856">
        <v>0</v>
      </c>
      <c r="I2167" s="1856">
        <v>0</v>
      </c>
      <c r="J2167" s="1873">
        <v>0</v>
      </c>
      <c r="K2167" s="1860"/>
      <c r="L2167" s="1854">
        <v>13291000101</v>
      </c>
      <c r="M2167" s="1855">
        <v>0</v>
      </c>
      <c r="N2167" s="1855">
        <v>0</v>
      </c>
      <c r="O2167" s="1856">
        <v>0</v>
      </c>
    </row>
    <row r="2168" spans="3:15" ht="13.5">
      <c r="C2168" s="1861" t="s">
        <v>5958</v>
      </c>
      <c r="D2168" s="1858">
        <v>0</v>
      </c>
      <c r="E2168" s="1858">
        <v>1</v>
      </c>
      <c r="F2168" s="1859">
        <v>1</v>
      </c>
      <c r="G2168" s="1872" t="s">
        <v>5958</v>
      </c>
      <c r="H2168" s="1856">
        <v>0</v>
      </c>
      <c r="I2168" s="1856" t="s">
        <v>3909</v>
      </c>
      <c r="J2168" s="1873">
        <v>0</v>
      </c>
      <c r="K2168" s="1860"/>
      <c r="L2168" s="1854">
        <v>13291000102</v>
      </c>
      <c r="M2168" s="1855">
        <v>0</v>
      </c>
      <c r="N2168" s="1855">
        <v>1</v>
      </c>
      <c r="O2168" s="1856">
        <v>1</v>
      </c>
    </row>
    <row r="2169" spans="3:15" ht="13.5">
      <c r="C2169" s="1861" t="s">
        <v>5959</v>
      </c>
      <c r="D2169" s="1858">
        <v>1</v>
      </c>
      <c r="E2169" s="1858">
        <v>1</v>
      </c>
      <c r="F2169" s="1859">
        <v>2</v>
      </c>
      <c r="G2169" s="1872" t="s">
        <v>5959</v>
      </c>
      <c r="H2169" s="1856">
        <v>0</v>
      </c>
      <c r="I2169" s="1856">
        <v>1</v>
      </c>
      <c r="J2169" s="1873">
        <v>1</v>
      </c>
      <c r="K2169" s="1860"/>
      <c r="L2169" s="1854">
        <v>13291000201</v>
      </c>
      <c r="M2169" s="1855">
        <v>1</v>
      </c>
      <c r="N2169" s="1855">
        <v>1</v>
      </c>
      <c r="O2169" s="1856">
        <v>2</v>
      </c>
    </row>
    <row r="2170" spans="3:15" ht="13.5">
      <c r="C2170" s="1861" t="s">
        <v>5960</v>
      </c>
      <c r="D2170" s="1858">
        <v>0</v>
      </c>
      <c r="E2170" s="1858">
        <v>1</v>
      </c>
      <c r="F2170" s="1859">
        <v>1</v>
      </c>
      <c r="G2170" s="1872" t="s">
        <v>5960</v>
      </c>
      <c r="H2170" s="1856">
        <v>0</v>
      </c>
      <c r="I2170" s="1856" t="s">
        <v>3909</v>
      </c>
      <c r="J2170" s="1873">
        <v>0</v>
      </c>
      <c r="K2170" s="1860"/>
      <c r="L2170" s="1854">
        <v>13291000203</v>
      </c>
      <c r="M2170" s="1855">
        <v>0</v>
      </c>
      <c r="N2170" s="1855">
        <v>1</v>
      </c>
      <c r="O2170" s="1856">
        <v>1</v>
      </c>
    </row>
    <row r="2171" spans="3:15" ht="13.5">
      <c r="C2171" s="1861" t="s">
        <v>5961</v>
      </c>
      <c r="D2171" s="1858">
        <v>0</v>
      </c>
      <c r="E2171" s="1858">
        <v>0</v>
      </c>
      <c r="F2171" s="1859">
        <v>0</v>
      </c>
      <c r="G2171" s="1872" t="s">
        <v>5961</v>
      </c>
      <c r="H2171" s="1856">
        <v>1</v>
      </c>
      <c r="I2171" s="1856">
        <v>0</v>
      </c>
      <c r="J2171" s="1873">
        <v>1</v>
      </c>
      <c r="K2171" s="1860"/>
      <c r="L2171" s="1854">
        <v>13291000204</v>
      </c>
      <c r="M2171" s="1855">
        <v>1</v>
      </c>
      <c r="N2171" s="1855">
        <v>0</v>
      </c>
      <c r="O2171" s="1856">
        <v>1</v>
      </c>
    </row>
    <row r="2172" spans="3:15" ht="13.5">
      <c r="C2172" s="1861" t="s">
        <v>5962</v>
      </c>
      <c r="D2172" s="1858">
        <v>0</v>
      </c>
      <c r="E2172" s="1858">
        <v>0</v>
      </c>
      <c r="F2172" s="1859">
        <v>0</v>
      </c>
      <c r="G2172" s="1872" t="s">
        <v>5962</v>
      </c>
      <c r="H2172" s="1856">
        <v>1</v>
      </c>
      <c r="I2172" s="1856">
        <v>0</v>
      </c>
      <c r="J2172" s="1873">
        <v>1</v>
      </c>
      <c r="K2172" s="1860"/>
      <c r="L2172" s="1854">
        <v>13291000205</v>
      </c>
      <c r="M2172" s="1855">
        <v>1</v>
      </c>
      <c r="N2172" s="1855">
        <v>0</v>
      </c>
      <c r="O2172" s="1856">
        <v>1</v>
      </c>
    </row>
    <row r="2173" spans="3:15" ht="13.5">
      <c r="C2173" s="1861" t="s">
        <v>5963</v>
      </c>
      <c r="D2173" s="1858">
        <v>0</v>
      </c>
      <c r="E2173" s="1858">
        <v>0</v>
      </c>
      <c r="F2173" s="1859">
        <v>0</v>
      </c>
      <c r="G2173" s="1872" t="s">
        <v>5963</v>
      </c>
      <c r="H2173" s="1856">
        <v>0</v>
      </c>
      <c r="I2173" s="1856">
        <v>0</v>
      </c>
      <c r="J2173" s="1873">
        <v>0</v>
      </c>
      <c r="K2173" s="1860"/>
      <c r="L2173" s="1854">
        <v>13293010100</v>
      </c>
      <c r="M2173" s="1855">
        <v>0</v>
      </c>
      <c r="N2173" s="1855">
        <v>0</v>
      </c>
      <c r="O2173" s="1856">
        <v>0</v>
      </c>
    </row>
    <row r="2174" spans="3:15" ht="13.5">
      <c r="C2174" s="1861" t="s">
        <v>5964</v>
      </c>
      <c r="D2174" s="1858">
        <v>0</v>
      </c>
      <c r="E2174" s="1858">
        <v>0</v>
      </c>
      <c r="F2174" s="1859">
        <v>0</v>
      </c>
      <c r="G2174" s="1872" t="s">
        <v>5964</v>
      </c>
      <c r="H2174" s="1856">
        <v>0</v>
      </c>
      <c r="I2174" s="1856">
        <v>0</v>
      </c>
      <c r="J2174" s="1873">
        <v>0</v>
      </c>
      <c r="K2174" s="1860"/>
      <c r="L2174" s="1854">
        <v>13293010201</v>
      </c>
      <c r="M2174" s="1855">
        <v>0</v>
      </c>
      <c r="N2174" s="1855">
        <v>0</v>
      </c>
      <c r="O2174" s="1856">
        <v>0</v>
      </c>
    </row>
    <row r="2175" spans="3:15" ht="13.5">
      <c r="C2175" s="1861" t="s">
        <v>5965</v>
      </c>
      <c r="D2175" s="1858">
        <v>0</v>
      </c>
      <c r="E2175" s="1858">
        <v>0</v>
      </c>
      <c r="F2175" s="1859">
        <v>0</v>
      </c>
      <c r="G2175" s="1872" t="s">
        <v>5965</v>
      </c>
      <c r="H2175" s="1856">
        <v>0</v>
      </c>
      <c r="I2175" s="1856">
        <v>1</v>
      </c>
      <c r="J2175" s="1873">
        <v>1</v>
      </c>
      <c r="K2175" s="1860"/>
      <c r="L2175" s="1854">
        <v>13293010202</v>
      </c>
      <c r="M2175" s="1855">
        <v>0</v>
      </c>
      <c r="N2175" s="1855">
        <v>1</v>
      </c>
      <c r="O2175" s="1856">
        <v>1</v>
      </c>
    </row>
    <row r="2176" spans="3:15" ht="13.5">
      <c r="C2176" s="1861" t="s">
        <v>5966</v>
      </c>
      <c r="D2176" s="1858">
        <v>0</v>
      </c>
      <c r="E2176" s="1858">
        <v>1</v>
      </c>
      <c r="F2176" s="1859">
        <v>1</v>
      </c>
      <c r="G2176" s="1872" t="s">
        <v>5966</v>
      </c>
      <c r="H2176" s="1856">
        <v>0</v>
      </c>
      <c r="I2176" s="1856">
        <v>0</v>
      </c>
      <c r="J2176" s="1873">
        <v>0</v>
      </c>
      <c r="K2176" s="1860"/>
      <c r="L2176" s="1854">
        <v>13293010300</v>
      </c>
      <c r="M2176" s="1855">
        <v>0</v>
      </c>
      <c r="N2176" s="1855">
        <v>1</v>
      </c>
      <c r="O2176" s="1856">
        <v>1</v>
      </c>
    </row>
    <row r="2177" spans="3:15" ht="13.5">
      <c r="C2177" s="1861" t="s">
        <v>5967</v>
      </c>
      <c r="D2177" s="1858">
        <v>0</v>
      </c>
      <c r="E2177" s="1858">
        <v>0</v>
      </c>
      <c r="F2177" s="1859">
        <v>0</v>
      </c>
      <c r="G2177" s="1872" t="s">
        <v>5967</v>
      </c>
      <c r="H2177" s="1856">
        <v>0</v>
      </c>
      <c r="I2177" s="1856">
        <v>0</v>
      </c>
      <c r="J2177" s="1873">
        <v>0</v>
      </c>
      <c r="K2177" s="1860"/>
      <c r="L2177" s="1854">
        <v>13293010400</v>
      </c>
      <c r="M2177" s="1855">
        <v>0</v>
      </c>
      <c r="N2177" s="1855">
        <v>0</v>
      </c>
      <c r="O2177" s="1856">
        <v>0</v>
      </c>
    </row>
    <row r="2178" spans="3:15" ht="13.5">
      <c r="C2178" s="1861" t="s">
        <v>5968</v>
      </c>
      <c r="D2178" s="1858">
        <v>0</v>
      </c>
      <c r="E2178" s="1858">
        <v>0</v>
      </c>
      <c r="F2178" s="1859">
        <v>0</v>
      </c>
      <c r="G2178" s="1872" t="s">
        <v>5968</v>
      </c>
      <c r="H2178" s="1856">
        <v>0</v>
      </c>
      <c r="I2178" s="1856">
        <v>0</v>
      </c>
      <c r="J2178" s="1873">
        <v>0</v>
      </c>
      <c r="K2178" s="1860"/>
      <c r="L2178" s="1854">
        <v>13293010500</v>
      </c>
      <c r="M2178" s="1855">
        <v>0</v>
      </c>
      <c r="N2178" s="1855">
        <v>0</v>
      </c>
      <c r="O2178" s="1856">
        <v>0</v>
      </c>
    </row>
    <row r="2179" spans="3:15" ht="13.5">
      <c r="C2179" s="1861" t="s">
        <v>5969</v>
      </c>
      <c r="D2179" s="1858">
        <v>0</v>
      </c>
      <c r="E2179" s="1858">
        <v>0</v>
      </c>
      <c r="F2179" s="1859">
        <v>0</v>
      </c>
      <c r="G2179" s="1872" t="s">
        <v>5969</v>
      </c>
      <c r="H2179" s="1856">
        <v>0</v>
      </c>
      <c r="I2179" s="1856">
        <v>0</v>
      </c>
      <c r="J2179" s="1873">
        <v>0</v>
      </c>
      <c r="K2179" s="1860"/>
      <c r="L2179" s="1854">
        <v>13293010600</v>
      </c>
      <c r="M2179" s="1855">
        <v>0</v>
      </c>
      <c r="N2179" s="1855">
        <v>0</v>
      </c>
      <c r="O2179" s="1856">
        <v>0</v>
      </c>
    </row>
    <row r="2180" spans="3:15" ht="13.5">
      <c r="C2180" s="1861" t="s">
        <v>5970</v>
      </c>
      <c r="D2180" s="1858">
        <v>0</v>
      </c>
      <c r="E2180" s="1858">
        <v>0</v>
      </c>
      <c r="F2180" s="1859">
        <v>0</v>
      </c>
      <c r="G2180" s="1872" t="s">
        <v>5970</v>
      </c>
      <c r="H2180" s="1856">
        <v>0</v>
      </c>
      <c r="I2180" s="1856">
        <v>0</v>
      </c>
      <c r="J2180" s="1873">
        <v>0</v>
      </c>
      <c r="K2180" s="1860"/>
      <c r="L2180" s="1854">
        <v>13295020100</v>
      </c>
      <c r="M2180" s="1855">
        <v>0</v>
      </c>
      <c r="N2180" s="1855">
        <v>0</v>
      </c>
      <c r="O2180" s="1856">
        <v>0</v>
      </c>
    </row>
    <row r="2181" spans="3:15" ht="13.5">
      <c r="C2181" s="1861" t="s">
        <v>5971</v>
      </c>
      <c r="D2181" s="1858">
        <v>0</v>
      </c>
      <c r="E2181" s="1858">
        <v>0</v>
      </c>
      <c r="F2181" s="1859">
        <v>0</v>
      </c>
      <c r="G2181" s="1872" t="s">
        <v>5971</v>
      </c>
      <c r="H2181" s="1856">
        <v>0</v>
      </c>
      <c r="I2181" s="1856">
        <v>0</v>
      </c>
      <c r="J2181" s="1873">
        <v>0</v>
      </c>
      <c r="K2181" s="1860"/>
      <c r="L2181" s="1854">
        <v>13295020200</v>
      </c>
      <c r="M2181" s="1855">
        <v>0</v>
      </c>
      <c r="N2181" s="1855">
        <v>0</v>
      </c>
      <c r="O2181" s="1856">
        <v>0</v>
      </c>
    </row>
    <row r="2182" spans="3:15" ht="13.5">
      <c r="C2182" s="1861" t="s">
        <v>5972</v>
      </c>
      <c r="D2182" s="1858">
        <v>0</v>
      </c>
      <c r="E2182" s="1858">
        <v>0</v>
      </c>
      <c r="F2182" s="1859">
        <v>0</v>
      </c>
      <c r="G2182" s="1872" t="s">
        <v>5972</v>
      </c>
      <c r="H2182" s="1856">
        <v>0</v>
      </c>
      <c r="I2182" s="1856">
        <v>0</v>
      </c>
      <c r="J2182" s="1873">
        <v>0</v>
      </c>
      <c r="K2182" s="1860"/>
      <c r="L2182" s="1854">
        <v>13295020301</v>
      </c>
      <c r="M2182" s="1855">
        <v>0</v>
      </c>
      <c r="N2182" s="1855">
        <v>0</v>
      </c>
      <c r="O2182" s="1856">
        <v>0</v>
      </c>
    </row>
    <row r="2183" spans="3:15" ht="13.5">
      <c r="C2183" s="1861" t="s">
        <v>5973</v>
      </c>
      <c r="D2183" s="1858">
        <v>0</v>
      </c>
      <c r="E2183" s="1858">
        <v>0</v>
      </c>
      <c r="F2183" s="1859">
        <v>0</v>
      </c>
      <c r="G2183" s="1872" t="s">
        <v>5973</v>
      </c>
      <c r="H2183" s="1856">
        <v>0</v>
      </c>
      <c r="I2183" s="1856">
        <v>0</v>
      </c>
      <c r="J2183" s="1873">
        <v>0</v>
      </c>
      <c r="K2183" s="1860"/>
      <c r="L2183" s="1854">
        <v>13295020302</v>
      </c>
      <c r="M2183" s="1855">
        <v>0</v>
      </c>
      <c r="N2183" s="1855">
        <v>0</v>
      </c>
      <c r="O2183" s="1856">
        <v>0</v>
      </c>
    </row>
    <row r="2184" spans="3:15" ht="13.5">
      <c r="C2184" s="1861" t="s">
        <v>5974</v>
      </c>
      <c r="D2184" s="1858">
        <v>1</v>
      </c>
      <c r="E2184" s="1858">
        <v>1</v>
      </c>
      <c r="F2184" s="1859">
        <v>2</v>
      </c>
      <c r="G2184" s="1872" t="s">
        <v>5974</v>
      </c>
      <c r="H2184" s="1856">
        <v>1</v>
      </c>
      <c r="I2184" s="1856">
        <v>1</v>
      </c>
      <c r="J2184" s="1873">
        <v>2</v>
      </c>
      <c r="K2184" s="1860"/>
      <c r="L2184" s="1854">
        <v>13295020400</v>
      </c>
      <c r="M2184" s="1855">
        <v>1</v>
      </c>
      <c r="N2184" s="1855">
        <v>1</v>
      </c>
      <c r="O2184" s="1856">
        <v>2</v>
      </c>
    </row>
    <row r="2185" spans="3:15" ht="13.5">
      <c r="C2185" s="1861" t="s">
        <v>5975</v>
      </c>
      <c r="D2185" s="1858">
        <v>1</v>
      </c>
      <c r="E2185" s="1858">
        <v>0</v>
      </c>
      <c r="F2185" s="1859">
        <v>1</v>
      </c>
      <c r="G2185" s="1872" t="s">
        <v>5975</v>
      </c>
      <c r="H2185" s="1856">
        <v>0</v>
      </c>
      <c r="I2185" s="1856">
        <v>0</v>
      </c>
      <c r="J2185" s="1873">
        <v>0</v>
      </c>
      <c r="K2185" s="1860"/>
      <c r="L2185" s="1854">
        <v>13295020501</v>
      </c>
      <c r="M2185" s="1855">
        <v>1</v>
      </c>
      <c r="N2185" s="1855">
        <v>0</v>
      </c>
      <c r="O2185" s="1856">
        <v>1</v>
      </c>
    </row>
    <row r="2186" spans="3:15" ht="13.5">
      <c r="C2186" s="1861" t="s">
        <v>5976</v>
      </c>
      <c r="D2186" s="1858">
        <v>0</v>
      </c>
      <c r="E2186" s="1858">
        <v>1</v>
      </c>
      <c r="F2186" s="1859">
        <v>1</v>
      </c>
      <c r="G2186" s="1872" t="s">
        <v>5976</v>
      </c>
      <c r="H2186" s="1856">
        <v>1</v>
      </c>
      <c r="I2186" s="1856">
        <v>1</v>
      </c>
      <c r="J2186" s="1873">
        <v>2</v>
      </c>
      <c r="K2186" s="1860"/>
      <c r="L2186" s="1854">
        <v>13295020502</v>
      </c>
      <c r="M2186" s="1855">
        <v>1</v>
      </c>
      <c r="N2186" s="1855">
        <v>1</v>
      </c>
      <c r="O2186" s="1856">
        <v>2</v>
      </c>
    </row>
    <row r="2187" spans="3:15" ht="13.5">
      <c r="C2187" s="1861" t="s">
        <v>5977</v>
      </c>
      <c r="D2187" s="1858">
        <v>0</v>
      </c>
      <c r="E2187" s="1858">
        <v>1</v>
      </c>
      <c r="F2187" s="1859">
        <v>1</v>
      </c>
      <c r="G2187" s="1872" t="s">
        <v>5977</v>
      </c>
      <c r="H2187" s="1856">
        <v>0</v>
      </c>
      <c r="I2187" s="1856">
        <v>1</v>
      </c>
      <c r="J2187" s="1873">
        <v>1</v>
      </c>
      <c r="K2187" s="1860"/>
      <c r="L2187" s="1854">
        <v>13295020601</v>
      </c>
      <c r="M2187" s="1855">
        <v>0</v>
      </c>
      <c r="N2187" s="1855">
        <v>1</v>
      </c>
      <c r="O2187" s="1856">
        <v>1</v>
      </c>
    </row>
    <row r="2188" spans="3:15" ht="13.5">
      <c r="C2188" s="1861" t="s">
        <v>5978</v>
      </c>
      <c r="D2188" s="1858">
        <v>0</v>
      </c>
      <c r="E2188" s="1858">
        <v>0</v>
      </c>
      <c r="F2188" s="1859">
        <v>0</v>
      </c>
      <c r="G2188" s="1872" t="s">
        <v>5978</v>
      </c>
      <c r="H2188" s="1856">
        <v>0</v>
      </c>
      <c r="I2188" s="1856">
        <v>0</v>
      </c>
      <c r="J2188" s="1873">
        <v>0</v>
      </c>
      <c r="K2188" s="1860"/>
      <c r="L2188" s="1854">
        <v>13295020602</v>
      </c>
      <c r="M2188" s="1855">
        <v>0</v>
      </c>
      <c r="N2188" s="1855">
        <v>0</v>
      </c>
      <c r="O2188" s="1856">
        <v>0</v>
      </c>
    </row>
    <row r="2189" spans="3:15" ht="13.5">
      <c r="C2189" s="1861" t="s">
        <v>5979</v>
      </c>
      <c r="D2189" s="1858">
        <v>0</v>
      </c>
      <c r="E2189" s="1858">
        <v>0</v>
      </c>
      <c r="F2189" s="1859">
        <v>0</v>
      </c>
      <c r="G2189" s="1872" t="s">
        <v>5979</v>
      </c>
      <c r="H2189" s="1856">
        <v>0</v>
      </c>
      <c r="I2189" s="1856">
        <v>0</v>
      </c>
      <c r="J2189" s="1873">
        <v>0</v>
      </c>
      <c r="K2189" s="1860"/>
      <c r="L2189" s="1854">
        <v>13295020700</v>
      </c>
      <c r="M2189" s="1855">
        <v>0</v>
      </c>
      <c r="N2189" s="1855">
        <v>0</v>
      </c>
      <c r="O2189" s="1856">
        <v>0</v>
      </c>
    </row>
    <row r="2190" spans="3:15" ht="13.5">
      <c r="C2190" s="1861" t="s">
        <v>5980</v>
      </c>
      <c r="D2190" s="1858">
        <v>0</v>
      </c>
      <c r="E2190" s="1858">
        <v>0</v>
      </c>
      <c r="F2190" s="1859">
        <v>0</v>
      </c>
      <c r="G2190" s="1872" t="s">
        <v>5980</v>
      </c>
      <c r="H2190" s="1856">
        <v>0</v>
      </c>
      <c r="I2190" s="1856">
        <v>0</v>
      </c>
      <c r="J2190" s="1873">
        <v>0</v>
      </c>
      <c r="K2190" s="1860"/>
      <c r="L2190" s="1854">
        <v>13295020800</v>
      </c>
      <c r="M2190" s="1855">
        <v>0</v>
      </c>
      <c r="N2190" s="1855">
        <v>0</v>
      </c>
      <c r="O2190" s="1856">
        <v>0</v>
      </c>
    </row>
    <row r="2191" spans="3:15" ht="13.5">
      <c r="C2191" s="1861" t="s">
        <v>5981</v>
      </c>
      <c r="D2191" s="1858">
        <v>0</v>
      </c>
      <c r="E2191" s="1858">
        <v>0</v>
      </c>
      <c r="F2191" s="1859">
        <v>0</v>
      </c>
      <c r="G2191" s="1872" t="s">
        <v>5981</v>
      </c>
      <c r="H2191" s="1856">
        <v>1</v>
      </c>
      <c r="I2191" s="1856">
        <v>1</v>
      </c>
      <c r="J2191" s="1873">
        <v>2</v>
      </c>
      <c r="K2191" s="1860"/>
      <c r="L2191" s="1854">
        <v>13295020901</v>
      </c>
      <c r="M2191" s="1855">
        <v>1</v>
      </c>
      <c r="N2191" s="1855">
        <v>1</v>
      </c>
      <c r="O2191" s="1856">
        <v>2</v>
      </c>
    </row>
    <row r="2192" spans="3:15" ht="13.5">
      <c r="C2192" s="1861" t="s">
        <v>5982</v>
      </c>
      <c r="D2192" s="1858">
        <v>0</v>
      </c>
      <c r="E2192" s="1858">
        <v>0</v>
      </c>
      <c r="F2192" s="1859">
        <v>0</v>
      </c>
      <c r="G2192" s="1872" t="s">
        <v>5982</v>
      </c>
      <c r="H2192" s="1856">
        <v>0</v>
      </c>
      <c r="I2192" s="1856">
        <v>1</v>
      </c>
      <c r="J2192" s="1873">
        <v>1</v>
      </c>
      <c r="K2192" s="1860"/>
      <c r="L2192" s="1854">
        <v>13295020902</v>
      </c>
      <c r="M2192" s="1855">
        <v>0</v>
      </c>
      <c r="N2192" s="1855">
        <v>1</v>
      </c>
      <c r="O2192" s="1856">
        <v>1</v>
      </c>
    </row>
    <row r="2193" spans="3:15" ht="13.5">
      <c r="C2193" s="1861" t="s">
        <v>5983</v>
      </c>
      <c r="D2193" s="1858">
        <v>1</v>
      </c>
      <c r="E2193" s="1858">
        <v>1</v>
      </c>
      <c r="F2193" s="1859">
        <v>2</v>
      </c>
      <c r="G2193" s="1872" t="s">
        <v>5983</v>
      </c>
      <c r="H2193" s="1856">
        <v>1</v>
      </c>
      <c r="I2193" s="1856">
        <v>1</v>
      </c>
      <c r="J2193" s="1873">
        <v>2</v>
      </c>
      <c r="K2193" s="1860"/>
      <c r="L2193" s="1854">
        <v>13297110100</v>
      </c>
      <c r="M2193" s="1855">
        <v>1</v>
      </c>
      <c r="N2193" s="1855">
        <v>1</v>
      </c>
      <c r="O2193" s="1856">
        <v>2</v>
      </c>
    </row>
    <row r="2194" spans="3:15" ht="13.5">
      <c r="C2194" s="1861" t="s">
        <v>5984</v>
      </c>
      <c r="D2194" s="1858">
        <v>1</v>
      </c>
      <c r="E2194" s="1858">
        <v>1</v>
      </c>
      <c r="F2194" s="1859">
        <v>2</v>
      </c>
      <c r="G2194" s="1872" t="s">
        <v>5984</v>
      </c>
      <c r="H2194" s="1856">
        <v>1</v>
      </c>
      <c r="I2194" s="1856">
        <v>0</v>
      </c>
      <c r="J2194" s="1873">
        <v>1</v>
      </c>
      <c r="K2194" s="1860"/>
      <c r="L2194" s="1854">
        <v>13297110200</v>
      </c>
      <c r="M2194" s="1855">
        <v>1</v>
      </c>
      <c r="N2194" s="1855">
        <v>1</v>
      </c>
      <c r="O2194" s="1856">
        <v>2</v>
      </c>
    </row>
    <row r="2195" spans="3:15" ht="13.5">
      <c r="C2195" s="1861" t="s">
        <v>5985</v>
      </c>
      <c r="D2195" s="1858">
        <v>0</v>
      </c>
      <c r="E2195" s="1858">
        <v>0</v>
      </c>
      <c r="F2195" s="1859">
        <v>0</v>
      </c>
      <c r="G2195" s="1872" t="s">
        <v>5985</v>
      </c>
      <c r="H2195" s="1856">
        <v>0</v>
      </c>
      <c r="I2195" s="1856">
        <v>0</v>
      </c>
      <c r="J2195" s="1873">
        <v>0</v>
      </c>
      <c r="K2195" s="1860"/>
      <c r="L2195" s="1854">
        <v>13297110300</v>
      </c>
      <c r="M2195" s="1855">
        <v>0</v>
      </c>
      <c r="N2195" s="1855">
        <v>0</v>
      </c>
      <c r="O2195" s="1856">
        <v>0</v>
      </c>
    </row>
    <row r="2196" spans="3:15" ht="13.5">
      <c r="C2196" s="1861" t="s">
        <v>5986</v>
      </c>
      <c r="D2196" s="1858">
        <v>0</v>
      </c>
      <c r="E2196" s="1858">
        <v>0</v>
      </c>
      <c r="F2196" s="1859">
        <v>0</v>
      </c>
      <c r="G2196" s="1872" t="s">
        <v>5986</v>
      </c>
      <c r="H2196" s="1856">
        <v>0</v>
      </c>
      <c r="I2196" s="1856">
        <v>0</v>
      </c>
      <c r="J2196" s="1873">
        <v>0</v>
      </c>
      <c r="K2196" s="1860"/>
      <c r="L2196" s="1854">
        <v>13297110400</v>
      </c>
      <c r="M2196" s="1855">
        <v>0</v>
      </c>
      <c r="N2196" s="1855">
        <v>0</v>
      </c>
      <c r="O2196" s="1856">
        <v>0</v>
      </c>
    </row>
    <row r="2197" spans="3:15" ht="13.5">
      <c r="C2197" s="1861" t="s">
        <v>5987</v>
      </c>
      <c r="D2197" s="1858">
        <v>1</v>
      </c>
      <c r="E2197" s="1858">
        <v>1</v>
      </c>
      <c r="F2197" s="1859">
        <v>2</v>
      </c>
      <c r="G2197" s="1872" t="s">
        <v>5987</v>
      </c>
      <c r="H2197" s="1856">
        <v>1</v>
      </c>
      <c r="I2197" s="1856">
        <v>1</v>
      </c>
      <c r="J2197" s="1873">
        <v>2</v>
      </c>
      <c r="K2197" s="1860"/>
      <c r="L2197" s="1854">
        <v>13297110503</v>
      </c>
      <c r="M2197" s="1855">
        <v>1</v>
      </c>
      <c r="N2197" s="1855">
        <v>1</v>
      </c>
      <c r="O2197" s="1856">
        <v>2</v>
      </c>
    </row>
    <row r="2198" spans="3:15" ht="13.5">
      <c r="C2198" s="1861" t="s">
        <v>5988</v>
      </c>
      <c r="D2198" s="1858">
        <v>1</v>
      </c>
      <c r="E2198" s="1858">
        <v>1</v>
      </c>
      <c r="F2198" s="1859">
        <v>2</v>
      </c>
      <c r="G2198" s="1872" t="s">
        <v>5988</v>
      </c>
      <c r="H2198" s="1856">
        <v>1</v>
      </c>
      <c r="I2198" s="1856">
        <v>1</v>
      </c>
      <c r="J2198" s="1873">
        <v>2</v>
      </c>
      <c r="K2198" s="1860"/>
      <c r="L2198" s="1854">
        <v>13297110504</v>
      </c>
      <c r="M2198" s="1855">
        <v>1</v>
      </c>
      <c r="N2198" s="1855">
        <v>1</v>
      </c>
      <c r="O2198" s="1856">
        <v>2</v>
      </c>
    </row>
    <row r="2199" spans="3:15" ht="13.5">
      <c r="C2199" s="1861" t="s">
        <v>5989</v>
      </c>
      <c r="D2199" s="1858">
        <v>1</v>
      </c>
      <c r="E2199" s="1858">
        <v>1</v>
      </c>
      <c r="F2199" s="1859">
        <v>2</v>
      </c>
      <c r="G2199" s="1872" t="s">
        <v>5989</v>
      </c>
      <c r="H2199" s="1856">
        <v>1</v>
      </c>
      <c r="I2199" s="1856">
        <v>0</v>
      </c>
      <c r="J2199" s="1873">
        <v>1</v>
      </c>
      <c r="K2199" s="1860"/>
      <c r="L2199" s="1854">
        <v>13297110505</v>
      </c>
      <c r="M2199" s="1855">
        <v>1</v>
      </c>
      <c r="N2199" s="1855">
        <v>1</v>
      </c>
      <c r="O2199" s="1856">
        <v>2</v>
      </c>
    </row>
    <row r="2200" spans="3:15" ht="13.5">
      <c r="C2200" s="1861" t="s">
        <v>5990</v>
      </c>
      <c r="D2200" s="1858">
        <v>1</v>
      </c>
      <c r="E2200" s="1858">
        <v>1</v>
      </c>
      <c r="F2200" s="1859">
        <v>2</v>
      </c>
      <c r="G2200" s="1872" t="s">
        <v>5990</v>
      </c>
      <c r="H2200" s="1856">
        <v>1</v>
      </c>
      <c r="I2200" s="1856">
        <v>1</v>
      </c>
      <c r="J2200" s="1873">
        <v>2</v>
      </c>
      <c r="K2200" s="1860"/>
      <c r="L2200" s="1854">
        <v>13297110506</v>
      </c>
      <c r="M2200" s="1855">
        <v>1</v>
      </c>
      <c r="N2200" s="1855">
        <v>1</v>
      </c>
      <c r="O2200" s="1856">
        <v>2</v>
      </c>
    </row>
    <row r="2201" spans="3:15" ht="13.5">
      <c r="C2201" s="1861" t="s">
        <v>5991</v>
      </c>
      <c r="D2201" s="1858">
        <v>1</v>
      </c>
      <c r="E2201" s="1858">
        <v>1</v>
      </c>
      <c r="F2201" s="1859">
        <v>2</v>
      </c>
      <c r="G2201" s="1872" t="s">
        <v>5991</v>
      </c>
      <c r="H2201" s="1856">
        <v>1</v>
      </c>
      <c r="I2201" s="1856">
        <v>1</v>
      </c>
      <c r="J2201" s="1873">
        <v>2</v>
      </c>
      <c r="K2201" s="1860"/>
      <c r="L2201" s="1854">
        <v>13297110507</v>
      </c>
      <c r="M2201" s="1855">
        <v>1</v>
      </c>
      <c r="N2201" s="1855">
        <v>1</v>
      </c>
      <c r="O2201" s="1856">
        <v>2</v>
      </c>
    </row>
    <row r="2202" spans="3:15" ht="13.5">
      <c r="C2202" s="1861" t="s">
        <v>5992</v>
      </c>
      <c r="D2202" s="1858">
        <v>1</v>
      </c>
      <c r="E2202" s="1858">
        <v>1</v>
      </c>
      <c r="F2202" s="1859">
        <v>2</v>
      </c>
      <c r="G2202" s="1872" t="s">
        <v>5992</v>
      </c>
      <c r="H2202" s="1856">
        <v>0</v>
      </c>
      <c r="I2202" s="1856">
        <v>1</v>
      </c>
      <c r="J2202" s="1873">
        <v>1</v>
      </c>
      <c r="K2202" s="1860"/>
      <c r="L2202" s="1854">
        <v>13297110508</v>
      </c>
      <c r="M2202" s="1855">
        <v>1</v>
      </c>
      <c r="N2202" s="1855">
        <v>1</v>
      </c>
      <c r="O2202" s="1856">
        <v>2</v>
      </c>
    </row>
    <row r="2203" spans="3:15" ht="13.5">
      <c r="C2203" s="1861" t="s">
        <v>5993</v>
      </c>
      <c r="D2203" s="1858">
        <v>1</v>
      </c>
      <c r="E2203" s="1858">
        <v>1</v>
      </c>
      <c r="F2203" s="1859">
        <v>2</v>
      </c>
      <c r="G2203" s="1872" t="s">
        <v>5993</v>
      </c>
      <c r="H2203" s="1856">
        <v>1</v>
      </c>
      <c r="I2203" s="1856">
        <v>1</v>
      </c>
      <c r="J2203" s="1873">
        <v>2</v>
      </c>
      <c r="K2203" s="1860"/>
      <c r="L2203" s="1854">
        <v>13297110601</v>
      </c>
      <c r="M2203" s="1855">
        <v>1</v>
      </c>
      <c r="N2203" s="1855">
        <v>1</v>
      </c>
      <c r="O2203" s="1856">
        <v>2</v>
      </c>
    </row>
    <row r="2204" spans="3:15" ht="13.5">
      <c r="C2204" s="1861" t="s">
        <v>5994</v>
      </c>
      <c r="D2204" s="1858">
        <v>1</v>
      </c>
      <c r="E2204" s="1858">
        <v>1</v>
      </c>
      <c r="F2204" s="1859">
        <v>2</v>
      </c>
      <c r="G2204" s="1872" t="s">
        <v>5994</v>
      </c>
      <c r="H2204" s="1856">
        <v>1</v>
      </c>
      <c r="I2204" s="1856">
        <v>1</v>
      </c>
      <c r="J2204" s="1873">
        <v>2</v>
      </c>
      <c r="K2204" s="1860"/>
      <c r="L2204" s="1854">
        <v>13297110602</v>
      </c>
      <c r="M2204" s="1855">
        <v>1</v>
      </c>
      <c r="N2204" s="1855">
        <v>1</v>
      </c>
      <c r="O2204" s="1856">
        <v>2</v>
      </c>
    </row>
    <row r="2205" spans="3:15" ht="13.5">
      <c r="C2205" s="1861" t="s">
        <v>5995</v>
      </c>
      <c r="D2205" s="1858">
        <v>0</v>
      </c>
      <c r="E2205" s="1858">
        <v>1</v>
      </c>
      <c r="F2205" s="1859">
        <v>1</v>
      </c>
      <c r="G2205" s="1872" t="s">
        <v>5995</v>
      </c>
      <c r="H2205" s="1856">
        <v>0</v>
      </c>
      <c r="I2205" s="1856">
        <v>0</v>
      </c>
      <c r="J2205" s="1873">
        <v>0</v>
      </c>
      <c r="K2205" s="1860"/>
      <c r="L2205" s="1854">
        <v>13297110603</v>
      </c>
      <c r="M2205" s="1855">
        <v>0</v>
      </c>
      <c r="N2205" s="1855">
        <v>1</v>
      </c>
      <c r="O2205" s="1856">
        <v>1</v>
      </c>
    </row>
    <row r="2206" spans="3:15" ht="13.5">
      <c r="C2206" s="1861" t="s">
        <v>5996</v>
      </c>
      <c r="D2206" s="1858">
        <v>0</v>
      </c>
      <c r="E2206" s="1858">
        <v>0</v>
      </c>
      <c r="F2206" s="1859">
        <v>0</v>
      </c>
      <c r="G2206" s="1872" t="s">
        <v>5996</v>
      </c>
      <c r="H2206" s="1856">
        <v>0</v>
      </c>
      <c r="I2206" s="1856">
        <v>0</v>
      </c>
      <c r="J2206" s="1873">
        <v>0</v>
      </c>
      <c r="K2206" s="1860"/>
      <c r="L2206" s="1854">
        <v>13297110700</v>
      </c>
      <c r="M2206" s="1855">
        <v>0</v>
      </c>
      <c r="N2206" s="1855">
        <v>0</v>
      </c>
      <c r="O2206" s="1856">
        <v>0</v>
      </c>
    </row>
    <row r="2207" spans="3:15" ht="13.5">
      <c r="C2207" s="1861" t="s">
        <v>5997</v>
      </c>
      <c r="D2207" s="1858">
        <v>1</v>
      </c>
      <c r="E2207" s="1858">
        <v>0</v>
      </c>
      <c r="F2207" s="1859">
        <v>1</v>
      </c>
      <c r="G2207" s="1872" t="s">
        <v>5997</v>
      </c>
      <c r="H2207" s="1856">
        <v>1</v>
      </c>
      <c r="I2207" s="1856">
        <v>0</v>
      </c>
      <c r="J2207" s="1873">
        <v>1</v>
      </c>
      <c r="K2207" s="1860"/>
      <c r="L2207" s="1854">
        <v>13297110800</v>
      </c>
      <c r="M2207" s="1855">
        <v>1</v>
      </c>
      <c r="N2207" s="1855">
        <v>0</v>
      </c>
      <c r="O2207" s="1856">
        <v>1</v>
      </c>
    </row>
    <row r="2208" spans="3:15" ht="13.5">
      <c r="C2208" s="1861" t="s">
        <v>5998</v>
      </c>
      <c r="D2208" s="1858">
        <v>1</v>
      </c>
      <c r="E2208" s="1858">
        <v>0</v>
      </c>
      <c r="F2208" s="1859">
        <v>1</v>
      </c>
      <c r="G2208" s="1872" t="s">
        <v>5998</v>
      </c>
      <c r="H2208" s="1856">
        <v>0</v>
      </c>
      <c r="I2208" s="1856">
        <v>0</v>
      </c>
      <c r="J2208" s="1873">
        <v>0</v>
      </c>
      <c r="K2208" s="1860"/>
      <c r="L2208" s="1854">
        <v>13299950100</v>
      </c>
      <c r="M2208" s="1855">
        <v>1</v>
      </c>
      <c r="N2208" s="1855">
        <v>0</v>
      </c>
      <c r="O2208" s="1856">
        <v>1</v>
      </c>
    </row>
    <row r="2209" spans="3:15" ht="13.5">
      <c r="C2209" s="1861" t="s">
        <v>5999</v>
      </c>
      <c r="D2209" s="1858">
        <v>0</v>
      </c>
      <c r="E2209" s="1858">
        <v>0</v>
      </c>
      <c r="F2209" s="1859">
        <v>0</v>
      </c>
      <c r="G2209" s="1872" t="s">
        <v>5999</v>
      </c>
      <c r="H2209" s="1856">
        <v>0</v>
      </c>
      <c r="I2209" s="1856">
        <v>0</v>
      </c>
      <c r="J2209" s="1873">
        <v>0</v>
      </c>
      <c r="K2209" s="1860"/>
      <c r="L2209" s="1854">
        <v>13299950200</v>
      </c>
      <c r="M2209" s="1855">
        <v>0</v>
      </c>
      <c r="N2209" s="1855">
        <v>0</v>
      </c>
      <c r="O2209" s="1856">
        <v>0</v>
      </c>
    </row>
    <row r="2210" spans="3:15" ht="13.5">
      <c r="C2210" s="1861" t="s">
        <v>6000</v>
      </c>
      <c r="D2210" s="1858">
        <v>0</v>
      </c>
      <c r="E2210" s="1858">
        <v>0</v>
      </c>
      <c r="F2210" s="1859">
        <v>0</v>
      </c>
      <c r="G2210" s="1872" t="s">
        <v>6000</v>
      </c>
      <c r="H2210" s="1856">
        <v>0</v>
      </c>
      <c r="I2210" s="1856">
        <v>0</v>
      </c>
      <c r="J2210" s="1873">
        <v>0</v>
      </c>
      <c r="K2210" s="1860"/>
      <c r="L2210" s="1854">
        <v>13299950300</v>
      </c>
      <c r="M2210" s="1855">
        <v>0</v>
      </c>
      <c r="N2210" s="1855">
        <v>0</v>
      </c>
      <c r="O2210" s="1856">
        <v>0</v>
      </c>
    </row>
    <row r="2211" spans="3:15" ht="13.5">
      <c r="C2211" s="1861" t="s">
        <v>6001</v>
      </c>
      <c r="D2211" s="1858">
        <v>0</v>
      </c>
      <c r="E2211" s="1858">
        <v>0</v>
      </c>
      <c r="F2211" s="1859">
        <v>0</v>
      </c>
      <c r="G2211" s="1872" t="s">
        <v>6001</v>
      </c>
      <c r="H2211" s="1856">
        <v>0</v>
      </c>
      <c r="I2211" s="1856">
        <v>0</v>
      </c>
      <c r="J2211" s="1873">
        <v>0</v>
      </c>
      <c r="K2211" s="1860"/>
      <c r="L2211" s="1854">
        <v>13299950400</v>
      </c>
      <c r="M2211" s="1855">
        <v>0</v>
      </c>
      <c r="N2211" s="1855">
        <v>0</v>
      </c>
      <c r="O2211" s="1856">
        <v>0</v>
      </c>
    </row>
    <row r="2212" spans="3:15" ht="13.5">
      <c r="C2212" s="1861" t="s">
        <v>6002</v>
      </c>
      <c r="D2212" s="1858">
        <v>1</v>
      </c>
      <c r="E2212" s="1858">
        <v>0</v>
      </c>
      <c r="F2212" s="1859">
        <v>1</v>
      </c>
      <c r="G2212" s="1872" t="s">
        <v>6002</v>
      </c>
      <c r="H2212" s="1856">
        <v>1</v>
      </c>
      <c r="I2212" s="1856">
        <v>0</v>
      </c>
      <c r="J2212" s="1873">
        <v>1</v>
      </c>
      <c r="K2212" s="1860"/>
      <c r="L2212" s="1854">
        <v>13299950500</v>
      </c>
      <c r="M2212" s="1855">
        <v>1</v>
      </c>
      <c r="N2212" s="1855">
        <v>0</v>
      </c>
      <c r="O2212" s="1856">
        <v>1</v>
      </c>
    </row>
    <row r="2213" spans="3:15" ht="13.5">
      <c r="C2213" s="1861" t="s">
        <v>6003</v>
      </c>
      <c r="D2213" s="1858">
        <v>1</v>
      </c>
      <c r="E2213" s="1858">
        <v>0</v>
      </c>
      <c r="F2213" s="1859">
        <v>1</v>
      </c>
      <c r="G2213" s="1872" t="s">
        <v>6003</v>
      </c>
      <c r="H2213" s="1856">
        <v>1</v>
      </c>
      <c r="I2213" s="1856">
        <v>0</v>
      </c>
      <c r="J2213" s="1873">
        <v>1</v>
      </c>
      <c r="K2213" s="1860"/>
      <c r="L2213" s="1854">
        <v>13299950600</v>
      </c>
      <c r="M2213" s="1855">
        <v>1</v>
      </c>
      <c r="N2213" s="1855">
        <v>0</v>
      </c>
      <c r="O2213" s="1856">
        <v>1</v>
      </c>
    </row>
    <row r="2214" spans="3:15" ht="13.5">
      <c r="C2214" s="1861" t="s">
        <v>6004</v>
      </c>
      <c r="D2214" s="1858">
        <v>0</v>
      </c>
      <c r="E2214" s="1858">
        <v>0</v>
      </c>
      <c r="F2214" s="1859">
        <v>0</v>
      </c>
      <c r="G2214" s="1872" t="s">
        <v>6004</v>
      </c>
      <c r="H2214" s="1856">
        <v>0</v>
      </c>
      <c r="I2214" s="1856">
        <v>0</v>
      </c>
      <c r="J2214" s="1873">
        <v>0</v>
      </c>
      <c r="K2214" s="1860"/>
      <c r="L2214" s="1854">
        <v>13299950700</v>
      </c>
      <c r="M2214" s="1855">
        <v>0</v>
      </c>
      <c r="N2214" s="1855">
        <v>0</v>
      </c>
      <c r="O2214" s="1856">
        <v>0</v>
      </c>
    </row>
    <row r="2215" spans="3:15" ht="13.5">
      <c r="C2215" s="1861" t="s">
        <v>6005</v>
      </c>
      <c r="D2215" s="1858">
        <v>0</v>
      </c>
      <c r="E2215" s="1858">
        <v>0</v>
      </c>
      <c r="F2215" s="1859">
        <v>0</v>
      </c>
      <c r="G2215" s="1872" t="s">
        <v>6005</v>
      </c>
      <c r="H2215" s="1856">
        <v>0</v>
      </c>
      <c r="I2215" s="1856">
        <v>0</v>
      </c>
      <c r="J2215" s="1873">
        <v>0</v>
      </c>
      <c r="K2215" s="1860"/>
      <c r="L2215" s="1854">
        <v>13299950800</v>
      </c>
      <c r="M2215" s="1855">
        <v>0</v>
      </c>
      <c r="N2215" s="1855">
        <v>0</v>
      </c>
      <c r="O2215" s="1856">
        <v>0</v>
      </c>
    </row>
    <row r="2216" spans="3:15" ht="13.5">
      <c r="C2216" s="1861" t="s">
        <v>6006</v>
      </c>
      <c r="D2216" s="1858">
        <v>0</v>
      </c>
      <c r="E2216" s="1858">
        <v>0</v>
      </c>
      <c r="F2216" s="1859">
        <v>0</v>
      </c>
      <c r="G2216" s="1872" t="s">
        <v>6006</v>
      </c>
      <c r="H2216" s="1856">
        <v>0</v>
      </c>
      <c r="I2216" s="1856">
        <v>0</v>
      </c>
      <c r="J2216" s="1873">
        <v>0</v>
      </c>
      <c r="K2216" s="1860"/>
      <c r="L2216" s="1854">
        <v>13299950900</v>
      </c>
      <c r="M2216" s="1855">
        <v>0</v>
      </c>
      <c r="N2216" s="1855">
        <v>0</v>
      </c>
      <c r="O2216" s="1856">
        <v>0</v>
      </c>
    </row>
    <row r="2217" spans="3:15" ht="13.5">
      <c r="C2217" s="1861" t="s">
        <v>6007</v>
      </c>
      <c r="D2217" s="1858">
        <v>0</v>
      </c>
      <c r="E2217" s="1858">
        <v>0</v>
      </c>
      <c r="F2217" s="1859">
        <v>0</v>
      </c>
      <c r="G2217" s="1872" t="s">
        <v>6007</v>
      </c>
      <c r="H2217" s="1856">
        <v>0</v>
      </c>
      <c r="I2217" s="1856">
        <v>0</v>
      </c>
      <c r="J2217" s="1873">
        <v>0</v>
      </c>
      <c r="K2217" s="1860"/>
      <c r="L2217" s="1854">
        <v>13301970400</v>
      </c>
      <c r="M2217" s="1855">
        <v>0</v>
      </c>
      <c r="N2217" s="1855">
        <v>0</v>
      </c>
      <c r="O2217" s="1856">
        <v>0</v>
      </c>
    </row>
    <row r="2218" spans="3:15" ht="13.5">
      <c r="C2218" s="1861" t="s">
        <v>6008</v>
      </c>
      <c r="D2218" s="1858">
        <v>0</v>
      </c>
      <c r="E2218" s="1858">
        <v>0</v>
      </c>
      <c r="F2218" s="1859">
        <v>0</v>
      </c>
      <c r="G2218" s="1872" t="s">
        <v>6008</v>
      </c>
      <c r="H2218" s="1856">
        <v>0</v>
      </c>
      <c r="I2218" s="1856">
        <v>0</v>
      </c>
      <c r="J2218" s="1873">
        <v>0</v>
      </c>
      <c r="K2218" s="1860"/>
      <c r="L2218" s="1854">
        <v>13301970500</v>
      </c>
      <c r="M2218" s="1855">
        <v>0</v>
      </c>
      <c r="N2218" s="1855">
        <v>0</v>
      </c>
      <c r="O2218" s="1856">
        <v>0</v>
      </c>
    </row>
    <row r="2219" spans="3:15" ht="13.5">
      <c r="C2219" s="1861" t="s">
        <v>6009</v>
      </c>
      <c r="D2219" s="1858">
        <v>0</v>
      </c>
      <c r="E2219" s="1858">
        <v>0</v>
      </c>
      <c r="F2219" s="1859">
        <v>0</v>
      </c>
      <c r="G2219" s="1872" t="s">
        <v>6009</v>
      </c>
      <c r="H2219" s="1856">
        <v>0</v>
      </c>
      <c r="I2219" s="1856">
        <v>1</v>
      </c>
      <c r="J2219" s="1873">
        <v>1</v>
      </c>
      <c r="K2219" s="1860"/>
      <c r="L2219" s="1854">
        <v>13303950100</v>
      </c>
      <c r="M2219" s="1855">
        <v>0</v>
      </c>
      <c r="N2219" s="1855">
        <v>1</v>
      </c>
      <c r="O2219" s="1856">
        <v>1</v>
      </c>
    </row>
    <row r="2220" spans="3:15" ht="13.5">
      <c r="C2220" s="1861" t="s">
        <v>6010</v>
      </c>
      <c r="D2220" s="1858">
        <v>0</v>
      </c>
      <c r="E2220" s="1858">
        <v>0</v>
      </c>
      <c r="F2220" s="1859">
        <v>0</v>
      </c>
      <c r="G2220" s="1872" t="s">
        <v>6010</v>
      </c>
      <c r="H2220" s="1856">
        <v>0</v>
      </c>
      <c r="I2220" s="1856">
        <v>0</v>
      </c>
      <c r="J2220" s="1873">
        <v>0</v>
      </c>
      <c r="K2220" s="1860"/>
      <c r="L2220" s="1854">
        <v>13303950300</v>
      </c>
      <c r="M2220" s="1855">
        <v>0</v>
      </c>
      <c r="N2220" s="1855">
        <v>0</v>
      </c>
      <c r="O2220" s="1856">
        <v>0</v>
      </c>
    </row>
    <row r="2221" spans="3:15" ht="13.5">
      <c r="C2221" s="1861" t="s">
        <v>6011</v>
      </c>
      <c r="D2221" s="1858">
        <v>0</v>
      </c>
      <c r="E2221" s="1858">
        <v>0</v>
      </c>
      <c r="F2221" s="1859">
        <v>0</v>
      </c>
      <c r="G2221" s="1872" t="s">
        <v>6011</v>
      </c>
      <c r="H2221" s="1856">
        <v>0</v>
      </c>
      <c r="I2221" s="1856">
        <v>0</v>
      </c>
      <c r="J2221" s="1873">
        <v>0</v>
      </c>
      <c r="K2221" s="1860"/>
      <c r="L2221" s="1854">
        <v>13303950400</v>
      </c>
      <c r="M2221" s="1855">
        <v>0</v>
      </c>
      <c r="N2221" s="1855">
        <v>0</v>
      </c>
      <c r="O2221" s="1856">
        <v>0</v>
      </c>
    </row>
    <row r="2222" spans="3:15" ht="13.5">
      <c r="C2222" s="1861" t="s">
        <v>6012</v>
      </c>
      <c r="D2222" s="1858">
        <v>0</v>
      </c>
      <c r="E2222" s="1858">
        <v>0</v>
      </c>
      <c r="F2222" s="1859">
        <v>0</v>
      </c>
      <c r="G2222" s="1872" t="s">
        <v>6012</v>
      </c>
      <c r="H2222" s="1856">
        <v>0</v>
      </c>
      <c r="I2222" s="1856">
        <v>0</v>
      </c>
      <c r="J2222" s="1873">
        <v>0</v>
      </c>
      <c r="K2222" s="1860"/>
      <c r="L2222" s="1854">
        <v>13303950500</v>
      </c>
      <c r="M2222" s="1855">
        <v>0</v>
      </c>
      <c r="N2222" s="1855">
        <v>0</v>
      </c>
      <c r="O2222" s="1856">
        <v>0</v>
      </c>
    </row>
    <row r="2223" spans="3:15" ht="13.5">
      <c r="C2223" s="1861" t="s">
        <v>6013</v>
      </c>
      <c r="D2223" s="1858">
        <v>0</v>
      </c>
      <c r="E2223" s="1858">
        <v>0</v>
      </c>
      <c r="F2223" s="1859">
        <v>0</v>
      </c>
      <c r="G2223" s="1872" t="s">
        <v>6013</v>
      </c>
      <c r="H2223" s="1856">
        <v>0</v>
      </c>
      <c r="I2223" s="1856">
        <v>1</v>
      </c>
      <c r="J2223" s="1873">
        <v>1</v>
      </c>
      <c r="K2223" s="1860"/>
      <c r="L2223" s="1854">
        <v>13303950700</v>
      </c>
      <c r="M2223" s="1855">
        <v>0</v>
      </c>
      <c r="N2223" s="1855">
        <v>1</v>
      </c>
      <c r="O2223" s="1856">
        <v>1</v>
      </c>
    </row>
    <row r="2224" spans="3:15" ht="13.5">
      <c r="C2224" s="1861" t="s">
        <v>6014</v>
      </c>
      <c r="D2224" s="1858">
        <v>0</v>
      </c>
      <c r="E2224" s="1858">
        <v>0</v>
      </c>
      <c r="F2224" s="1859">
        <v>0</v>
      </c>
      <c r="G2224" s="1872" t="s">
        <v>6014</v>
      </c>
      <c r="H2224" s="1856">
        <v>0</v>
      </c>
      <c r="I2224" s="1856">
        <v>0</v>
      </c>
      <c r="J2224" s="1873">
        <v>0</v>
      </c>
      <c r="K2224" s="1860"/>
      <c r="L2224" s="1854">
        <v>13305970100</v>
      </c>
      <c r="M2224" s="1855">
        <v>0</v>
      </c>
      <c r="N2224" s="1855">
        <v>0</v>
      </c>
      <c r="O2224" s="1856">
        <v>0</v>
      </c>
    </row>
    <row r="2225" spans="3:15" ht="13.5">
      <c r="C2225" s="1861" t="s">
        <v>6015</v>
      </c>
      <c r="D2225" s="1858">
        <v>0</v>
      </c>
      <c r="E2225" s="1858">
        <v>0</v>
      </c>
      <c r="F2225" s="1859">
        <v>0</v>
      </c>
      <c r="G2225" s="1872" t="s">
        <v>6015</v>
      </c>
      <c r="H2225" s="1856">
        <v>0</v>
      </c>
      <c r="I2225" s="1856">
        <v>0</v>
      </c>
      <c r="J2225" s="1873">
        <v>0</v>
      </c>
      <c r="K2225" s="1860"/>
      <c r="L2225" s="1854">
        <v>13305970200</v>
      </c>
      <c r="M2225" s="1855">
        <v>0</v>
      </c>
      <c r="N2225" s="1855">
        <v>0</v>
      </c>
      <c r="O2225" s="1856">
        <v>0</v>
      </c>
    </row>
    <row r="2226" spans="3:15" ht="13.5">
      <c r="C2226" s="1861" t="s">
        <v>6016</v>
      </c>
      <c r="D2226" s="1858">
        <v>0</v>
      </c>
      <c r="E2226" s="1858">
        <v>0</v>
      </c>
      <c r="F2226" s="1859">
        <v>0</v>
      </c>
      <c r="G2226" s="1872" t="s">
        <v>6016</v>
      </c>
      <c r="H2226" s="1856">
        <v>0</v>
      </c>
      <c r="I2226" s="1856">
        <v>0</v>
      </c>
      <c r="J2226" s="1873">
        <v>0</v>
      </c>
      <c r="K2226" s="1860"/>
      <c r="L2226" s="1854">
        <v>13305970300</v>
      </c>
      <c r="M2226" s="1855">
        <v>0</v>
      </c>
      <c r="N2226" s="1855">
        <v>0</v>
      </c>
      <c r="O2226" s="1856">
        <v>0</v>
      </c>
    </row>
    <row r="2227" spans="3:15" ht="13.5">
      <c r="C2227" s="1861" t="s">
        <v>6017</v>
      </c>
      <c r="D2227" s="1858">
        <v>0</v>
      </c>
      <c r="E2227" s="1858">
        <v>0</v>
      </c>
      <c r="F2227" s="1859">
        <v>0</v>
      </c>
      <c r="G2227" s="1872" t="s">
        <v>6017</v>
      </c>
      <c r="H2227" s="1856">
        <v>0</v>
      </c>
      <c r="I2227" s="1856">
        <v>0</v>
      </c>
      <c r="J2227" s="1873">
        <v>0</v>
      </c>
      <c r="K2227" s="1860"/>
      <c r="L2227" s="1854">
        <v>13305970400</v>
      </c>
      <c r="M2227" s="1855">
        <v>0</v>
      </c>
      <c r="N2227" s="1855">
        <v>0</v>
      </c>
      <c r="O2227" s="1856">
        <v>0</v>
      </c>
    </row>
    <row r="2228" spans="3:15" ht="13.5">
      <c r="C2228" s="1861" t="s">
        <v>6018</v>
      </c>
      <c r="D2228" s="1858">
        <v>0</v>
      </c>
      <c r="E2228" s="1858">
        <v>0</v>
      </c>
      <c r="F2228" s="1859">
        <v>0</v>
      </c>
      <c r="G2228" s="1872" t="s">
        <v>6018</v>
      </c>
      <c r="H2228" s="1856">
        <v>0</v>
      </c>
      <c r="I2228" s="1856">
        <v>0</v>
      </c>
      <c r="J2228" s="1873">
        <v>0</v>
      </c>
      <c r="K2228" s="1860"/>
      <c r="L2228" s="1854">
        <v>13305970500</v>
      </c>
      <c r="M2228" s="1855">
        <v>0</v>
      </c>
      <c r="N2228" s="1855">
        <v>0</v>
      </c>
      <c r="O2228" s="1856">
        <v>0</v>
      </c>
    </row>
    <row r="2229" spans="3:15" ht="13.5">
      <c r="C2229" s="1861" t="s">
        <v>6019</v>
      </c>
      <c r="D2229" s="1858">
        <v>0</v>
      </c>
      <c r="E2229" s="1858">
        <v>0</v>
      </c>
      <c r="F2229" s="1859">
        <v>0</v>
      </c>
      <c r="G2229" s="1872" t="s">
        <v>6019</v>
      </c>
      <c r="H2229" s="1856">
        <v>0</v>
      </c>
      <c r="I2229" s="1856">
        <v>0</v>
      </c>
      <c r="J2229" s="1873">
        <v>0</v>
      </c>
      <c r="K2229" s="1860"/>
      <c r="L2229" s="1854">
        <v>13305970600</v>
      </c>
      <c r="M2229" s="1855">
        <v>0</v>
      </c>
      <c r="N2229" s="1855">
        <v>0</v>
      </c>
      <c r="O2229" s="1856">
        <v>0</v>
      </c>
    </row>
    <row r="2230" spans="3:15" ht="13.5">
      <c r="C2230" s="1861" t="s">
        <v>6020</v>
      </c>
      <c r="D2230" s="1858">
        <v>0</v>
      </c>
      <c r="E2230" s="1858">
        <v>0</v>
      </c>
      <c r="F2230" s="1859">
        <v>0</v>
      </c>
      <c r="G2230" s="1872" t="s">
        <v>6020</v>
      </c>
      <c r="H2230" s="1856">
        <v>0</v>
      </c>
      <c r="I2230" s="1856">
        <v>1</v>
      </c>
      <c r="J2230" s="1873">
        <v>1</v>
      </c>
      <c r="K2230" s="1860"/>
      <c r="L2230" s="1854">
        <v>13307960100</v>
      </c>
      <c r="M2230" s="1855">
        <v>0</v>
      </c>
      <c r="N2230" s="1855">
        <v>1</v>
      </c>
      <c r="O2230" s="1856">
        <v>1</v>
      </c>
    </row>
    <row r="2231" spans="3:15" ht="13.5">
      <c r="C2231" s="1861" t="s">
        <v>6021</v>
      </c>
      <c r="D2231" s="1858">
        <v>0</v>
      </c>
      <c r="E2231" s="1858">
        <v>0</v>
      </c>
      <c r="F2231" s="1859">
        <v>0</v>
      </c>
      <c r="G2231" s="1872" t="s">
        <v>6021</v>
      </c>
      <c r="H2231" s="1856">
        <v>0</v>
      </c>
      <c r="I2231" s="1856">
        <v>0</v>
      </c>
      <c r="J2231" s="1873">
        <v>0</v>
      </c>
      <c r="K2231" s="1860"/>
      <c r="L2231" s="1854">
        <v>13307960200</v>
      </c>
      <c r="M2231" s="1855">
        <v>0</v>
      </c>
      <c r="N2231" s="1855">
        <v>0</v>
      </c>
      <c r="O2231" s="1856">
        <v>0</v>
      </c>
    </row>
    <row r="2232" spans="3:15" ht="13.5">
      <c r="C2232" s="1861" t="s">
        <v>6022</v>
      </c>
      <c r="D2232" s="1858">
        <v>0</v>
      </c>
      <c r="E2232" s="1858">
        <v>0</v>
      </c>
      <c r="F2232" s="1859">
        <v>0</v>
      </c>
      <c r="G2232" s="1872" t="s">
        <v>6022</v>
      </c>
      <c r="H2232" s="1856">
        <v>0</v>
      </c>
      <c r="I2232" s="1856">
        <v>0</v>
      </c>
      <c r="J2232" s="1873">
        <v>0</v>
      </c>
      <c r="K2232" s="1860"/>
      <c r="L2232" s="1854">
        <v>13309780100</v>
      </c>
      <c r="M2232" s="1855">
        <v>0</v>
      </c>
      <c r="N2232" s="1855">
        <v>0</v>
      </c>
      <c r="O2232" s="1856">
        <v>0</v>
      </c>
    </row>
    <row r="2233" spans="3:15" ht="13.5">
      <c r="C2233" s="1861" t="s">
        <v>6023</v>
      </c>
      <c r="D2233" s="1858">
        <v>0</v>
      </c>
      <c r="E2233" s="1858">
        <v>0</v>
      </c>
      <c r="F2233" s="1859">
        <v>0</v>
      </c>
      <c r="G2233" s="1872" t="s">
        <v>6023</v>
      </c>
      <c r="H2233" s="1856">
        <v>0</v>
      </c>
      <c r="I2233" s="1856">
        <v>1</v>
      </c>
      <c r="J2233" s="1873">
        <v>1</v>
      </c>
      <c r="K2233" s="1860"/>
      <c r="L2233" s="1854">
        <v>13309780200</v>
      </c>
      <c r="M2233" s="1855">
        <v>0</v>
      </c>
      <c r="N2233" s="1855">
        <v>1</v>
      </c>
      <c r="O2233" s="1856">
        <v>1</v>
      </c>
    </row>
    <row r="2234" spans="3:15" ht="13.5">
      <c r="C2234" s="1861" t="s">
        <v>6024</v>
      </c>
      <c r="D2234" s="1858">
        <v>1</v>
      </c>
      <c r="E2234" s="1858">
        <v>0</v>
      </c>
      <c r="F2234" s="1859">
        <v>1</v>
      </c>
      <c r="G2234" s="1872" t="s">
        <v>6024</v>
      </c>
      <c r="H2234" s="1856">
        <v>1</v>
      </c>
      <c r="I2234" s="1856">
        <v>0</v>
      </c>
      <c r="J2234" s="1873">
        <v>1</v>
      </c>
      <c r="K2234" s="1860"/>
      <c r="L2234" s="1854">
        <v>13311950100</v>
      </c>
      <c r="M2234" s="1855">
        <v>1</v>
      </c>
      <c r="N2234" s="1855">
        <v>0</v>
      </c>
      <c r="O2234" s="1856">
        <v>1</v>
      </c>
    </row>
    <row r="2235" spans="3:15" ht="13.5">
      <c r="C2235" s="1861" t="s">
        <v>6025</v>
      </c>
      <c r="D2235" s="1858">
        <v>0</v>
      </c>
      <c r="E2235" s="1858">
        <v>0</v>
      </c>
      <c r="F2235" s="1859">
        <v>0</v>
      </c>
      <c r="G2235" s="1872" t="s">
        <v>6025</v>
      </c>
      <c r="H2235" s="1856">
        <v>0</v>
      </c>
      <c r="I2235" s="1856">
        <v>0</v>
      </c>
      <c r="J2235" s="1873">
        <v>0</v>
      </c>
      <c r="K2235" s="1860"/>
      <c r="L2235" s="1854">
        <v>13311950201</v>
      </c>
      <c r="M2235" s="1855">
        <v>0</v>
      </c>
      <c r="N2235" s="1855">
        <v>0</v>
      </c>
      <c r="O2235" s="1856">
        <v>0</v>
      </c>
    </row>
    <row r="2236" spans="3:15" ht="13.5">
      <c r="C2236" s="1861" t="s">
        <v>6026</v>
      </c>
      <c r="D2236" s="1858">
        <v>1</v>
      </c>
      <c r="E2236" s="1858">
        <v>1</v>
      </c>
      <c r="F2236" s="1859">
        <v>2</v>
      </c>
      <c r="G2236" s="1872" t="s">
        <v>6026</v>
      </c>
      <c r="H2236" s="1856">
        <v>0</v>
      </c>
      <c r="I2236" s="1856">
        <v>1</v>
      </c>
      <c r="J2236" s="1873">
        <v>1</v>
      </c>
      <c r="K2236" s="1860"/>
      <c r="L2236" s="1854">
        <v>13311950202</v>
      </c>
      <c r="M2236" s="1855">
        <v>1</v>
      </c>
      <c r="N2236" s="1855">
        <v>1</v>
      </c>
      <c r="O2236" s="1856">
        <v>2</v>
      </c>
    </row>
    <row r="2237" spans="3:15" ht="13.5">
      <c r="C2237" s="1861" t="s">
        <v>6027</v>
      </c>
      <c r="D2237" s="1858">
        <v>1</v>
      </c>
      <c r="E2237" s="1858">
        <v>0</v>
      </c>
      <c r="F2237" s="1859">
        <v>1</v>
      </c>
      <c r="G2237" s="1872" t="s">
        <v>6027</v>
      </c>
      <c r="H2237" s="1856">
        <v>0</v>
      </c>
      <c r="I2237" s="1856">
        <v>1</v>
      </c>
      <c r="J2237" s="1873">
        <v>1</v>
      </c>
      <c r="K2237" s="1860"/>
      <c r="L2237" s="1854">
        <v>13311950203</v>
      </c>
      <c r="M2237" s="1855">
        <v>1</v>
      </c>
      <c r="N2237" s="1855">
        <v>1</v>
      </c>
      <c r="O2237" s="1856">
        <v>1</v>
      </c>
    </row>
    <row r="2238" spans="3:15" ht="13.5">
      <c r="C2238" s="1861" t="s">
        <v>6028</v>
      </c>
      <c r="D2238" s="1858">
        <v>0</v>
      </c>
      <c r="E2238" s="1858">
        <v>1</v>
      </c>
      <c r="F2238" s="1859">
        <v>1</v>
      </c>
      <c r="G2238" s="1872" t="s">
        <v>6028</v>
      </c>
      <c r="H2238" s="1856">
        <v>0</v>
      </c>
      <c r="I2238" s="1856">
        <v>1</v>
      </c>
      <c r="J2238" s="1873">
        <v>1</v>
      </c>
      <c r="K2238" s="1860"/>
      <c r="L2238" s="1854">
        <v>13311950300</v>
      </c>
      <c r="M2238" s="1855">
        <v>0</v>
      </c>
      <c r="N2238" s="1855">
        <v>1</v>
      </c>
      <c r="O2238" s="1856">
        <v>1</v>
      </c>
    </row>
    <row r="2239" spans="3:15" ht="13.5">
      <c r="C2239" s="1861" t="s">
        <v>6029</v>
      </c>
      <c r="D2239" s="1858">
        <v>0</v>
      </c>
      <c r="E2239" s="1858">
        <v>0</v>
      </c>
      <c r="F2239" s="1859">
        <v>0</v>
      </c>
      <c r="G2239" s="1872" t="s">
        <v>6029</v>
      </c>
      <c r="H2239" s="1856">
        <v>0</v>
      </c>
      <c r="I2239" s="1856">
        <v>1</v>
      </c>
      <c r="J2239" s="1873">
        <v>1</v>
      </c>
      <c r="K2239" s="1860"/>
      <c r="L2239" s="1854">
        <v>13313000101</v>
      </c>
      <c r="M2239" s="1855">
        <v>0</v>
      </c>
      <c r="N2239" s="1855">
        <v>1</v>
      </c>
      <c r="O2239" s="1856">
        <v>1</v>
      </c>
    </row>
    <row r="2240" spans="3:15" ht="13.5">
      <c r="C2240" s="1861" t="s">
        <v>6030</v>
      </c>
      <c r="D2240" s="1858">
        <v>0</v>
      </c>
      <c r="E2240" s="1858">
        <v>1</v>
      </c>
      <c r="F2240" s="1859">
        <v>1</v>
      </c>
      <c r="G2240" s="1872" t="s">
        <v>6030</v>
      </c>
      <c r="H2240" s="1856">
        <v>0</v>
      </c>
      <c r="I2240" s="1856">
        <v>0</v>
      </c>
      <c r="J2240" s="1873">
        <v>0</v>
      </c>
      <c r="K2240" s="1860"/>
      <c r="L2240" s="1854">
        <v>13313000102</v>
      </c>
      <c r="M2240" s="1855">
        <v>0</v>
      </c>
      <c r="N2240" s="1855">
        <v>1</v>
      </c>
      <c r="O2240" s="1856">
        <v>1</v>
      </c>
    </row>
    <row r="2241" spans="3:15" ht="13.5">
      <c r="C2241" s="1861" t="s">
        <v>6031</v>
      </c>
      <c r="D2241" s="1858">
        <v>0</v>
      </c>
      <c r="E2241" s="1858">
        <v>1</v>
      </c>
      <c r="F2241" s="1859">
        <v>1</v>
      </c>
      <c r="G2241" s="1872" t="s">
        <v>6031</v>
      </c>
      <c r="H2241" s="1856">
        <v>0</v>
      </c>
      <c r="I2241" s="1856">
        <v>1</v>
      </c>
      <c r="J2241" s="1873">
        <v>1</v>
      </c>
      <c r="K2241" s="1860"/>
      <c r="L2241" s="1854">
        <v>13313000200</v>
      </c>
      <c r="M2241" s="1855">
        <v>0</v>
      </c>
      <c r="N2241" s="1855">
        <v>1</v>
      </c>
      <c r="O2241" s="1856">
        <v>1</v>
      </c>
    </row>
    <row r="2242" spans="3:15" ht="13.5">
      <c r="C2242" s="1861" t="s">
        <v>6032</v>
      </c>
      <c r="D2242" s="1858">
        <v>0</v>
      </c>
      <c r="E2242" s="1858">
        <v>0</v>
      </c>
      <c r="F2242" s="1859">
        <v>0</v>
      </c>
      <c r="G2242" s="1872" t="s">
        <v>6032</v>
      </c>
      <c r="H2242" s="1856">
        <v>0</v>
      </c>
      <c r="I2242" s="1856">
        <v>0</v>
      </c>
      <c r="J2242" s="1873">
        <v>0</v>
      </c>
      <c r="K2242" s="1860"/>
      <c r="L2242" s="1854">
        <v>13313000301</v>
      </c>
      <c r="M2242" s="1855">
        <v>0</v>
      </c>
      <c r="N2242" s="1855">
        <v>0</v>
      </c>
      <c r="O2242" s="1856">
        <v>0</v>
      </c>
    </row>
    <row r="2243" spans="3:15" ht="13.5">
      <c r="C2243" s="1861" t="s">
        <v>6033</v>
      </c>
      <c r="D2243" s="1858">
        <v>0</v>
      </c>
      <c r="E2243" s="1858">
        <v>1</v>
      </c>
      <c r="F2243" s="1859">
        <v>1</v>
      </c>
      <c r="G2243" s="1872" t="s">
        <v>6033</v>
      </c>
      <c r="H2243" s="1856">
        <v>1</v>
      </c>
      <c r="I2243" s="1856">
        <v>1</v>
      </c>
      <c r="J2243" s="1873">
        <v>2</v>
      </c>
      <c r="K2243" s="1860"/>
      <c r="L2243" s="1854">
        <v>13313000302</v>
      </c>
      <c r="M2243" s="1855">
        <v>1</v>
      </c>
      <c r="N2243" s="1855">
        <v>1</v>
      </c>
      <c r="O2243" s="1856">
        <v>2</v>
      </c>
    </row>
    <row r="2244" spans="3:15" ht="13.5">
      <c r="C2244" s="1861" t="s">
        <v>6034</v>
      </c>
      <c r="D2244" s="1858">
        <v>0</v>
      </c>
      <c r="E2244" s="1858">
        <v>0</v>
      </c>
      <c r="F2244" s="1859">
        <v>0</v>
      </c>
      <c r="G2244" s="1872" t="s">
        <v>6034</v>
      </c>
      <c r="H2244" s="1856">
        <v>0</v>
      </c>
      <c r="I2244" s="1856">
        <v>0</v>
      </c>
      <c r="J2244" s="1873">
        <v>0</v>
      </c>
      <c r="K2244" s="1860"/>
      <c r="L2244" s="1854">
        <v>13313000400</v>
      </c>
      <c r="M2244" s="1855">
        <v>0</v>
      </c>
      <c r="N2244" s="1855">
        <v>0</v>
      </c>
      <c r="O2244" s="1856">
        <v>0</v>
      </c>
    </row>
    <row r="2245" spans="3:15" ht="13.5">
      <c r="C2245" s="1861" t="s">
        <v>6035</v>
      </c>
      <c r="D2245" s="1858">
        <v>1</v>
      </c>
      <c r="E2245" s="1858">
        <v>0</v>
      </c>
      <c r="F2245" s="1859">
        <v>1</v>
      </c>
      <c r="G2245" s="1872" t="s">
        <v>6035</v>
      </c>
      <c r="H2245" s="1856">
        <v>1</v>
      </c>
      <c r="I2245" s="1856">
        <v>1</v>
      </c>
      <c r="J2245" s="1873">
        <v>2</v>
      </c>
      <c r="K2245" s="1860"/>
      <c r="L2245" s="1854">
        <v>13313000501</v>
      </c>
      <c r="M2245" s="1855">
        <v>1</v>
      </c>
      <c r="N2245" s="1855">
        <v>1</v>
      </c>
      <c r="O2245" s="1856">
        <v>2</v>
      </c>
    </row>
    <row r="2246" spans="3:15" ht="13.5">
      <c r="C2246" s="1861" t="s">
        <v>6036</v>
      </c>
      <c r="D2246" s="1858">
        <v>0</v>
      </c>
      <c r="E2246" s="1858">
        <v>0</v>
      </c>
      <c r="F2246" s="1859">
        <v>0</v>
      </c>
      <c r="G2246" s="1872" t="s">
        <v>6036</v>
      </c>
      <c r="H2246" s="1856">
        <v>0</v>
      </c>
      <c r="I2246" s="1856">
        <v>0</v>
      </c>
      <c r="J2246" s="1873">
        <v>0</v>
      </c>
      <c r="K2246" s="1860"/>
      <c r="L2246" s="1854">
        <v>13313000502</v>
      </c>
      <c r="M2246" s="1855">
        <v>0</v>
      </c>
      <c r="N2246" s="1855">
        <v>0</v>
      </c>
      <c r="O2246" s="1856">
        <v>0</v>
      </c>
    </row>
    <row r="2247" spans="3:15" ht="13.5">
      <c r="C2247" s="1861" t="s">
        <v>6037</v>
      </c>
      <c r="D2247" s="1858">
        <v>0</v>
      </c>
      <c r="E2247" s="1858">
        <v>1</v>
      </c>
      <c r="F2247" s="1859">
        <v>1</v>
      </c>
      <c r="G2247" s="1872" t="s">
        <v>6037</v>
      </c>
      <c r="H2247" s="1856">
        <v>0</v>
      </c>
      <c r="I2247" s="1856">
        <v>0</v>
      </c>
      <c r="J2247" s="1873">
        <v>0</v>
      </c>
      <c r="K2247" s="1860"/>
      <c r="L2247" s="1854">
        <v>13313000600</v>
      </c>
      <c r="M2247" s="1855">
        <v>0</v>
      </c>
      <c r="N2247" s="1855">
        <v>1</v>
      </c>
      <c r="O2247" s="1856">
        <v>1</v>
      </c>
    </row>
    <row r="2248" spans="3:15" ht="13.5">
      <c r="C2248" s="1861" t="s">
        <v>6038</v>
      </c>
      <c r="D2248" s="1858">
        <v>0</v>
      </c>
      <c r="E2248" s="1858">
        <v>1</v>
      </c>
      <c r="F2248" s="1859">
        <v>1</v>
      </c>
      <c r="G2248" s="1872" t="s">
        <v>6038</v>
      </c>
      <c r="H2248" s="1856">
        <v>0</v>
      </c>
      <c r="I2248" s="1856">
        <v>1</v>
      </c>
      <c r="J2248" s="1873">
        <v>1</v>
      </c>
      <c r="K2248" s="1860"/>
      <c r="L2248" s="1854">
        <v>13313000700</v>
      </c>
      <c r="M2248" s="1855">
        <v>0</v>
      </c>
      <c r="N2248" s="1855">
        <v>1</v>
      </c>
      <c r="O2248" s="1856">
        <v>1</v>
      </c>
    </row>
    <row r="2249" spans="3:15" ht="13.5">
      <c r="C2249" s="1861" t="s">
        <v>6039</v>
      </c>
      <c r="D2249" s="1858">
        <v>1</v>
      </c>
      <c r="E2249" s="1858">
        <v>0</v>
      </c>
      <c r="F2249" s="1859">
        <v>1</v>
      </c>
      <c r="G2249" s="1872" t="s">
        <v>6039</v>
      </c>
      <c r="H2249" s="1856">
        <v>1</v>
      </c>
      <c r="I2249" s="1856">
        <v>0</v>
      </c>
      <c r="J2249" s="1873">
        <v>1</v>
      </c>
      <c r="K2249" s="1860"/>
      <c r="L2249" s="1854">
        <v>13313000800</v>
      </c>
      <c r="M2249" s="1855">
        <v>1</v>
      </c>
      <c r="N2249" s="1855">
        <v>0</v>
      </c>
      <c r="O2249" s="1856">
        <v>1</v>
      </c>
    </row>
    <row r="2250" spans="3:15" ht="13.5">
      <c r="C2250" s="1861" t="s">
        <v>6040</v>
      </c>
      <c r="D2250" s="1858">
        <v>1</v>
      </c>
      <c r="E2250" s="1858">
        <v>1</v>
      </c>
      <c r="F2250" s="1859">
        <v>2</v>
      </c>
      <c r="G2250" s="1872" t="s">
        <v>6040</v>
      </c>
      <c r="H2250" s="1856">
        <v>1</v>
      </c>
      <c r="I2250" s="1856">
        <v>1</v>
      </c>
      <c r="J2250" s="1873">
        <v>2</v>
      </c>
      <c r="K2250" s="1860"/>
      <c r="L2250" s="1854">
        <v>13313000900</v>
      </c>
      <c r="M2250" s="1855">
        <v>1</v>
      </c>
      <c r="N2250" s="1855">
        <v>1</v>
      </c>
      <c r="O2250" s="1856">
        <v>2</v>
      </c>
    </row>
    <row r="2251" spans="3:15" ht="13.5">
      <c r="C2251" s="1861" t="s">
        <v>6041</v>
      </c>
      <c r="D2251" s="1858">
        <v>0</v>
      </c>
      <c r="E2251" s="1858">
        <v>0</v>
      </c>
      <c r="F2251" s="1859">
        <v>0</v>
      </c>
      <c r="G2251" s="1872" t="s">
        <v>6041</v>
      </c>
      <c r="H2251" s="1856">
        <v>1</v>
      </c>
      <c r="I2251" s="1856">
        <v>0</v>
      </c>
      <c r="J2251" s="1873">
        <v>0</v>
      </c>
      <c r="K2251" s="1860"/>
      <c r="L2251" s="1854">
        <v>13313001000</v>
      </c>
      <c r="M2251" s="1855">
        <v>1</v>
      </c>
      <c r="N2251" s="1855">
        <v>0</v>
      </c>
      <c r="O2251" s="1856">
        <v>0</v>
      </c>
    </row>
    <row r="2252" spans="3:15" ht="13.5">
      <c r="C2252" s="1861" t="s">
        <v>6042</v>
      </c>
      <c r="D2252" s="1858">
        <v>0</v>
      </c>
      <c r="E2252" s="1858">
        <v>0</v>
      </c>
      <c r="F2252" s="1859">
        <v>0</v>
      </c>
      <c r="G2252" s="1872" t="s">
        <v>6042</v>
      </c>
      <c r="H2252" s="1856">
        <v>0</v>
      </c>
      <c r="I2252" s="1856">
        <v>0</v>
      </c>
      <c r="J2252" s="1873">
        <v>0</v>
      </c>
      <c r="K2252" s="1860"/>
      <c r="L2252" s="1854">
        <v>13313001100</v>
      </c>
      <c r="M2252" s="1855">
        <v>0</v>
      </c>
      <c r="N2252" s="1855">
        <v>0</v>
      </c>
      <c r="O2252" s="1856">
        <v>0</v>
      </c>
    </row>
    <row r="2253" spans="3:15" ht="13.5">
      <c r="C2253" s="1861" t="s">
        <v>6043</v>
      </c>
      <c r="D2253" s="1858">
        <v>0</v>
      </c>
      <c r="E2253" s="1858">
        <v>0</v>
      </c>
      <c r="F2253" s="1859">
        <v>0</v>
      </c>
      <c r="G2253" s="1872" t="s">
        <v>6043</v>
      </c>
      <c r="H2253" s="1856">
        <v>0</v>
      </c>
      <c r="I2253" s="1856">
        <v>0</v>
      </c>
      <c r="J2253" s="1873">
        <v>0</v>
      </c>
      <c r="K2253" s="1860"/>
      <c r="L2253" s="1854">
        <v>13313001200</v>
      </c>
      <c r="M2253" s="1855">
        <v>0</v>
      </c>
      <c r="N2253" s="1855">
        <v>0</v>
      </c>
      <c r="O2253" s="1856">
        <v>0</v>
      </c>
    </row>
    <row r="2254" spans="3:15" ht="13.5">
      <c r="C2254" s="1861" t="s">
        <v>6044</v>
      </c>
      <c r="D2254" s="1858">
        <v>0</v>
      </c>
      <c r="E2254" s="1858">
        <v>0</v>
      </c>
      <c r="F2254" s="1859">
        <v>0</v>
      </c>
      <c r="G2254" s="1872" t="s">
        <v>6044</v>
      </c>
      <c r="H2254" s="1856">
        <v>0</v>
      </c>
      <c r="I2254" s="1856">
        <v>0</v>
      </c>
      <c r="J2254" s="1873">
        <v>0</v>
      </c>
      <c r="K2254" s="1860"/>
      <c r="L2254" s="1854">
        <v>13313001300</v>
      </c>
      <c r="M2254" s="1855">
        <v>0</v>
      </c>
      <c r="N2254" s="1855">
        <v>0</v>
      </c>
      <c r="O2254" s="1856">
        <v>0</v>
      </c>
    </row>
    <row r="2255" spans="3:15" ht="13.5">
      <c r="C2255" s="1861" t="s">
        <v>6045</v>
      </c>
      <c r="D2255" s="1858">
        <v>0</v>
      </c>
      <c r="E2255" s="1858">
        <v>0</v>
      </c>
      <c r="F2255" s="1859">
        <v>0</v>
      </c>
      <c r="G2255" s="1872" t="s">
        <v>6045</v>
      </c>
      <c r="H2255" s="1856">
        <v>0</v>
      </c>
      <c r="I2255" s="1856">
        <v>0</v>
      </c>
      <c r="J2255" s="1873">
        <v>0</v>
      </c>
      <c r="K2255" s="1860"/>
      <c r="L2255" s="1854">
        <v>13313001400</v>
      </c>
      <c r="M2255" s="1855">
        <v>0</v>
      </c>
      <c r="N2255" s="1855">
        <v>0</v>
      </c>
      <c r="O2255" s="1856">
        <v>0</v>
      </c>
    </row>
    <row r="2256" spans="3:15" ht="13.5">
      <c r="C2256" s="1861" t="s">
        <v>6046</v>
      </c>
      <c r="D2256" s="1858">
        <v>1</v>
      </c>
      <c r="E2256" s="1858">
        <v>0</v>
      </c>
      <c r="F2256" s="1859">
        <v>1</v>
      </c>
      <c r="G2256" s="1872" t="s">
        <v>6046</v>
      </c>
      <c r="H2256" s="1856">
        <v>0</v>
      </c>
      <c r="I2256" s="1856">
        <v>0</v>
      </c>
      <c r="J2256" s="1873">
        <v>0</v>
      </c>
      <c r="K2256" s="1860"/>
      <c r="L2256" s="1854">
        <v>13313001500</v>
      </c>
      <c r="M2256" s="1855">
        <v>1</v>
      </c>
      <c r="N2256" s="1855">
        <v>0</v>
      </c>
      <c r="O2256" s="1856">
        <v>1</v>
      </c>
    </row>
    <row r="2257" spans="3:15" ht="13.5">
      <c r="C2257" s="1861" t="s">
        <v>6047</v>
      </c>
      <c r="D2257" s="1858">
        <v>0</v>
      </c>
      <c r="E2257" s="1858">
        <v>0</v>
      </c>
      <c r="F2257" s="1859">
        <v>0</v>
      </c>
      <c r="G2257" s="1872" t="s">
        <v>6047</v>
      </c>
      <c r="H2257" s="1856">
        <v>0</v>
      </c>
      <c r="I2257" s="1856">
        <v>0</v>
      </c>
      <c r="J2257" s="1873">
        <v>0</v>
      </c>
      <c r="K2257" s="1860"/>
      <c r="L2257" s="1854">
        <v>13315960100</v>
      </c>
      <c r="M2257" s="1855">
        <v>0</v>
      </c>
      <c r="N2257" s="1855">
        <v>0</v>
      </c>
      <c r="O2257" s="1856">
        <v>0</v>
      </c>
    </row>
    <row r="2258" spans="3:15" ht="13.5">
      <c r="C2258" s="1861" t="s">
        <v>6048</v>
      </c>
      <c r="D2258" s="1858">
        <v>0</v>
      </c>
      <c r="E2258" s="1858">
        <v>0</v>
      </c>
      <c r="F2258" s="1859">
        <v>0</v>
      </c>
      <c r="G2258" s="1872" t="s">
        <v>6048</v>
      </c>
      <c r="H2258" s="1856">
        <v>0</v>
      </c>
      <c r="I2258" s="1856">
        <v>0</v>
      </c>
      <c r="J2258" s="1873">
        <v>0</v>
      </c>
      <c r="K2258" s="1860"/>
      <c r="L2258" s="1854">
        <v>13315960200</v>
      </c>
      <c r="M2258" s="1855">
        <v>0</v>
      </c>
      <c r="N2258" s="1855">
        <v>0</v>
      </c>
      <c r="O2258" s="1856">
        <v>0</v>
      </c>
    </row>
    <row r="2259" spans="3:15" ht="13.5">
      <c r="C2259" s="1861" t="s">
        <v>6049</v>
      </c>
      <c r="D2259" s="1858">
        <v>0</v>
      </c>
      <c r="E2259" s="1858">
        <v>0</v>
      </c>
      <c r="F2259" s="1859">
        <v>0</v>
      </c>
      <c r="G2259" s="1872" t="s">
        <v>6049</v>
      </c>
      <c r="H2259" s="1856">
        <v>0</v>
      </c>
      <c r="I2259" s="1856">
        <v>0</v>
      </c>
      <c r="J2259" s="1873">
        <v>0</v>
      </c>
      <c r="K2259" s="1860"/>
      <c r="L2259" s="1854">
        <v>13315960300</v>
      </c>
      <c r="M2259" s="1855">
        <v>0</v>
      </c>
      <c r="N2259" s="1855">
        <v>0</v>
      </c>
      <c r="O2259" s="1856">
        <v>0</v>
      </c>
    </row>
    <row r="2260" spans="3:15" ht="13.5">
      <c r="C2260" s="1861" t="s">
        <v>6050</v>
      </c>
      <c r="D2260" s="1858">
        <v>0</v>
      </c>
      <c r="E2260" s="1858">
        <v>0</v>
      </c>
      <c r="F2260" s="1859">
        <v>0</v>
      </c>
      <c r="G2260" s="1872" t="s">
        <v>6050</v>
      </c>
      <c r="H2260" s="1856">
        <v>0</v>
      </c>
      <c r="I2260" s="1856">
        <v>0</v>
      </c>
      <c r="J2260" s="1873">
        <v>0</v>
      </c>
      <c r="K2260" s="1860"/>
      <c r="L2260" s="1854">
        <v>13315960400</v>
      </c>
      <c r="M2260" s="1855">
        <v>0</v>
      </c>
      <c r="N2260" s="1855">
        <v>0</v>
      </c>
      <c r="O2260" s="1856">
        <v>0</v>
      </c>
    </row>
    <row r="2261" spans="3:15" ht="13.5">
      <c r="C2261" s="1861" t="s">
        <v>6051</v>
      </c>
      <c r="D2261" s="1858">
        <v>0</v>
      </c>
      <c r="E2261" s="1858">
        <v>0</v>
      </c>
      <c r="F2261" s="1859">
        <v>0</v>
      </c>
      <c r="G2261" s="1872" t="s">
        <v>6051</v>
      </c>
      <c r="H2261" s="1856">
        <v>0</v>
      </c>
      <c r="I2261" s="1856">
        <v>1</v>
      </c>
      <c r="J2261" s="1873">
        <v>1</v>
      </c>
      <c r="K2261" s="1860"/>
      <c r="L2261" s="1854">
        <v>13317010101</v>
      </c>
      <c r="M2261" s="1855">
        <v>0</v>
      </c>
      <c r="N2261" s="1855">
        <v>1</v>
      </c>
      <c r="O2261" s="1856">
        <v>1</v>
      </c>
    </row>
    <row r="2262" spans="3:15" ht="13.5">
      <c r="C2262" s="1861" t="s">
        <v>6052</v>
      </c>
      <c r="D2262" s="1858">
        <v>0</v>
      </c>
      <c r="E2262" s="1858">
        <v>0</v>
      </c>
      <c r="F2262" s="1859">
        <v>0</v>
      </c>
      <c r="G2262" s="1872" t="s">
        <v>6052</v>
      </c>
      <c r="H2262" s="1856">
        <v>0</v>
      </c>
      <c r="I2262" s="1856">
        <v>0</v>
      </c>
      <c r="J2262" s="1873">
        <v>0</v>
      </c>
      <c r="K2262" s="1860"/>
      <c r="L2262" s="1854">
        <v>13317010102</v>
      </c>
      <c r="M2262" s="1855">
        <v>0</v>
      </c>
      <c r="N2262" s="1855">
        <v>0</v>
      </c>
      <c r="O2262" s="1856">
        <v>0</v>
      </c>
    </row>
    <row r="2263" spans="3:15" ht="13.5">
      <c r="C2263" s="1861" t="s">
        <v>6053</v>
      </c>
      <c r="D2263" s="1858">
        <v>1</v>
      </c>
      <c r="E2263" s="1858">
        <v>0</v>
      </c>
      <c r="F2263" s="1859">
        <v>1</v>
      </c>
      <c r="G2263" s="1872" t="s">
        <v>6053</v>
      </c>
      <c r="H2263" s="1856">
        <v>0</v>
      </c>
      <c r="I2263" s="1856">
        <v>0</v>
      </c>
      <c r="J2263" s="1873">
        <v>0</v>
      </c>
      <c r="K2263" s="1860"/>
      <c r="L2263" s="1854">
        <v>13317010301</v>
      </c>
      <c r="M2263" s="1855">
        <v>1</v>
      </c>
      <c r="N2263" s="1855">
        <v>0</v>
      </c>
      <c r="O2263" s="1856">
        <v>1</v>
      </c>
    </row>
    <row r="2264" spans="3:15" ht="13.5">
      <c r="C2264" s="1861" t="s">
        <v>6054</v>
      </c>
      <c r="D2264" s="1858">
        <v>0</v>
      </c>
      <c r="E2264" s="1858">
        <v>0</v>
      </c>
      <c r="F2264" s="1859">
        <v>0</v>
      </c>
      <c r="G2264" s="1872" t="s">
        <v>6054</v>
      </c>
      <c r="H2264" s="1856">
        <v>0</v>
      </c>
      <c r="I2264" s="1856">
        <v>0</v>
      </c>
      <c r="J2264" s="1873">
        <v>0</v>
      </c>
      <c r="K2264" s="1860"/>
      <c r="L2264" s="1854">
        <v>13317010302</v>
      </c>
      <c r="M2264" s="1855">
        <v>0</v>
      </c>
      <c r="N2264" s="1855">
        <v>0</v>
      </c>
      <c r="O2264" s="1856">
        <v>0</v>
      </c>
    </row>
    <row r="2265" spans="3:15" ht="13.5">
      <c r="C2265" s="1861" t="s">
        <v>6055</v>
      </c>
      <c r="D2265" s="1858">
        <v>0</v>
      </c>
      <c r="E2265" s="1858">
        <v>0</v>
      </c>
      <c r="F2265" s="1859">
        <v>0</v>
      </c>
      <c r="G2265" s="1872" t="s">
        <v>6055</v>
      </c>
      <c r="H2265" s="1856">
        <v>0</v>
      </c>
      <c r="I2265" s="1856">
        <v>0</v>
      </c>
      <c r="J2265" s="1873">
        <v>0</v>
      </c>
      <c r="K2265" s="1860"/>
      <c r="L2265" s="1854">
        <v>13319960200</v>
      </c>
      <c r="M2265" s="1855">
        <v>0</v>
      </c>
      <c r="N2265" s="1855">
        <v>0</v>
      </c>
      <c r="O2265" s="1856">
        <v>0</v>
      </c>
    </row>
    <row r="2266" spans="3:15" ht="13.5">
      <c r="C2266" s="1861" t="s">
        <v>6056</v>
      </c>
      <c r="D2266" s="1858">
        <v>0</v>
      </c>
      <c r="E2266" s="1858">
        <v>0</v>
      </c>
      <c r="F2266" s="1859">
        <v>0</v>
      </c>
      <c r="G2266" s="1872" t="s">
        <v>6056</v>
      </c>
      <c r="H2266" s="1856">
        <v>0</v>
      </c>
      <c r="I2266" s="1856">
        <v>1</v>
      </c>
      <c r="J2266" s="1873">
        <v>1</v>
      </c>
      <c r="K2266" s="1860"/>
      <c r="L2266" s="1854">
        <v>13319960300</v>
      </c>
      <c r="M2266" s="1855">
        <v>0</v>
      </c>
      <c r="N2266" s="1855">
        <v>1</v>
      </c>
      <c r="O2266" s="1856">
        <v>1</v>
      </c>
    </row>
    <row r="2267" spans="3:15" ht="13.5">
      <c r="C2267" s="1861" t="s">
        <v>6057</v>
      </c>
      <c r="D2267" s="1858">
        <v>0</v>
      </c>
      <c r="E2267" s="1858">
        <v>0</v>
      </c>
      <c r="F2267" s="1859">
        <v>0</v>
      </c>
      <c r="G2267" s="1872" t="s">
        <v>6057</v>
      </c>
      <c r="H2267" s="1856">
        <v>0</v>
      </c>
      <c r="I2267" s="1856">
        <v>0</v>
      </c>
      <c r="J2267" s="1873">
        <v>0</v>
      </c>
      <c r="K2267" s="1860"/>
      <c r="L2267" s="1854">
        <v>13319960400</v>
      </c>
      <c r="M2267" s="1855">
        <v>0</v>
      </c>
      <c r="N2267" s="1855">
        <v>0</v>
      </c>
      <c r="O2267" s="1856">
        <v>0</v>
      </c>
    </row>
    <row r="2268" spans="3:15" ht="13.5">
      <c r="C2268" s="1861" t="s">
        <v>6058</v>
      </c>
      <c r="D2268" s="1858">
        <v>0</v>
      </c>
      <c r="E2268" s="1858">
        <v>0</v>
      </c>
      <c r="F2268" s="1859">
        <v>0</v>
      </c>
      <c r="G2268" s="1872" t="s">
        <v>6058</v>
      </c>
      <c r="H2268" s="1856">
        <v>0</v>
      </c>
      <c r="I2268" s="1856">
        <v>0</v>
      </c>
      <c r="J2268" s="1873">
        <v>0</v>
      </c>
      <c r="K2268" s="1860"/>
      <c r="L2268" s="1854">
        <v>13321950100</v>
      </c>
      <c r="M2268" s="1855">
        <v>0</v>
      </c>
      <c r="N2268" s="1855">
        <v>0</v>
      </c>
      <c r="O2268" s="1856">
        <v>0</v>
      </c>
    </row>
    <row r="2269" spans="3:15" ht="13.5">
      <c r="C2269" s="1861" t="s">
        <v>6059</v>
      </c>
      <c r="D2269" s="1858">
        <v>0</v>
      </c>
      <c r="E2269" s="1858">
        <v>0</v>
      </c>
      <c r="F2269" s="1859">
        <v>0</v>
      </c>
      <c r="G2269" s="1872" t="s">
        <v>6059</v>
      </c>
      <c r="H2269" s="1856">
        <v>0</v>
      </c>
      <c r="I2269" s="1856">
        <v>0</v>
      </c>
      <c r="J2269" s="1873">
        <v>0</v>
      </c>
      <c r="K2269" s="1860"/>
      <c r="L2269" s="1854">
        <v>13321950200</v>
      </c>
      <c r="M2269" s="1855">
        <v>0</v>
      </c>
      <c r="N2269" s="1855">
        <v>0</v>
      </c>
      <c r="O2269" s="1856">
        <v>0</v>
      </c>
    </row>
    <row r="2270" spans="3:15" ht="13.5">
      <c r="C2270" s="1861" t="s">
        <v>6060</v>
      </c>
      <c r="D2270" s="1858">
        <v>0</v>
      </c>
      <c r="E2270" s="1858">
        <v>0</v>
      </c>
      <c r="F2270" s="1859">
        <v>0</v>
      </c>
      <c r="G2270" s="1872" t="s">
        <v>6060</v>
      </c>
      <c r="H2270" s="1856">
        <v>0</v>
      </c>
      <c r="I2270" s="1856">
        <v>0</v>
      </c>
      <c r="J2270" s="1873">
        <v>0</v>
      </c>
      <c r="K2270" s="1860"/>
      <c r="L2270" s="1854">
        <v>13321950400</v>
      </c>
      <c r="M2270" s="1855">
        <v>0</v>
      </c>
      <c r="N2270" s="1855">
        <v>0</v>
      </c>
      <c r="O2270" s="1856">
        <v>0</v>
      </c>
    </row>
    <row r="2271" spans="3:15" ht="13.5">
      <c r="C2271" s="1861" t="s">
        <v>6061</v>
      </c>
      <c r="D2271" s="1858">
        <v>0</v>
      </c>
      <c r="E2271" s="1858">
        <v>0</v>
      </c>
      <c r="F2271" s="1859">
        <v>0</v>
      </c>
      <c r="G2271" s="1872" t="s">
        <v>6061</v>
      </c>
      <c r="H2271" s="1856">
        <v>0</v>
      </c>
      <c r="I2271" s="1856">
        <v>0</v>
      </c>
      <c r="J2271" s="1873">
        <v>0</v>
      </c>
      <c r="K2271" s="1860"/>
      <c r="L2271" s="1854">
        <v>13321950500</v>
      </c>
      <c r="M2271" s="1855">
        <v>0</v>
      </c>
      <c r="N2271" s="1855">
        <v>0</v>
      </c>
      <c r="O2271" s="1856">
        <v>0</v>
      </c>
    </row>
    <row r="2272" spans="3:15" ht="13.5">
      <c r="C2272" s="1862" t="s">
        <v>6062</v>
      </c>
      <c r="D2272" s="1863">
        <v>0</v>
      </c>
      <c r="E2272" s="1863">
        <v>0</v>
      </c>
      <c r="F2272" s="1864">
        <v>0</v>
      </c>
      <c r="G2272" s="1874" t="s">
        <v>6062</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6322</v>
      </c>
      <c r="E1" s="2287" t="s">
        <v>6312</v>
      </c>
      <c r="F1" s="2287" t="s">
        <v>6323</v>
      </c>
      <c r="H1" s="2287" t="s">
        <v>6324</v>
      </c>
      <c r="J1" s="2287" t="s">
        <v>6325</v>
      </c>
      <c r="K1" s="2287" t="s">
        <v>6326</v>
      </c>
      <c r="L1" s="2287" t="s">
        <v>6327</v>
      </c>
      <c r="M1" s="2287" t="s">
        <v>6328</v>
      </c>
      <c r="O1" s="2287" t="s">
        <v>6329</v>
      </c>
      <c r="Q1" s="2287" t="s">
        <v>6330</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Magnolia Villas, Tifton, Tift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3660</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3462</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3463</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3462</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3463</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3463</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3463</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3462</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3463</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3463</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3462</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3463</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3462</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3463</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3463</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3463</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3463</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3462</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3463</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3463</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3463</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3463</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3463</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3463</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6227</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6473</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6228</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6228</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6308</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6228</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6228</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6228</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6228</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6471</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6228</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6472</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6228</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3884</v>
      </c>
      <c r="H152" s="620"/>
      <c r="I152" s="620"/>
      <c r="J152" s="620"/>
      <c r="K152" s="620"/>
      <c r="L152" s="620"/>
      <c r="M152" s="620"/>
      <c r="N152" s="620"/>
      <c r="O152" s="620"/>
      <c r="P152" s="620"/>
      <c r="Q152" s="620"/>
      <c r="R152" s="620"/>
      <c r="S152" s="620"/>
      <c r="Z152" s="2246">
        <v>152</v>
      </c>
    </row>
    <row r="153" spans="1:26" ht="13.5" thickBot="1">
      <c r="A153" s="3483" t="s">
        <v>3298</v>
      </c>
      <c r="B153" s="3483"/>
      <c r="C153" s="3483"/>
      <c r="D153" s="3483"/>
      <c r="E153" s="3483"/>
      <c r="H153" s="1598" t="s">
        <v>2309</v>
      </c>
      <c r="I153" s="3477" t="s">
        <v>6523</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3842</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6226</v>
      </c>
      <c r="E155" s="339"/>
      <c r="H155" s="1539" t="s">
        <v>3842</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3842</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3842</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3842</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3842</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3842</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3893</v>
      </c>
      <c r="E161" s="339"/>
      <c r="H161" s="1539" t="s">
        <v>3842</v>
      </c>
      <c r="I161" s="3378"/>
      <c r="J161" s="3379"/>
      <c r="K161" s="3379"/>
      <c r="L161" s="3379"/>
      <c r="M161" s="3379"/>
      <c r="N161" s="3379"/>
      <c r="O161" s="3379"/>
      <c r="P161" s="3379"/>
      <c r="Q161" s="3379"/>
      <c r="R161" s="3379"/>
      <c r="S161" s="3380"/>
      <c r="Z161" s="2246">
        <v>161</v>
      </c>
    </row>
    <row r="162" spans="1:26" s="315" customFormat="1" ht="15" customHeight="1" thickBot="1">
      <c r="B162" s="616" t="s">
        <v>3892</v>
      </c>
      <c r="C162" s="3480" t="s">
        <v>6478</v>
      </c>
      <c r="D162" s="3481"/>
      <c r="E162" s="3481"/>
      <c r="F162" s="3481"/>
      <c r="G162" s="3482"/>
      <c r="H162" s="1539" t="s">
        <v>3842</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3885</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6479</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3842</v>
      </c>
      <c r="J171" s="617" t="s">
        <v>3842</v>
      </c>
      <c r="K171" s="622"/>
      <c r="L171" s="831"/>
      <c r="M171" s="623" t="s">
        <v>3842</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3842</v>
      </c>
      <c r="J172" s="618" t="s">
        <v>3842</v>
      </c>
      <c r="K172" s="624"/>
      <c r="L172" s="832"/>
      <c r="M172" s="625" t="s">
        <v>3842</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3842</v>
      </c>
      <c r="J173" s="618" t="s">
        <v>3842</v>
      </c>
      <c r="K173" s="624"/>
      <c r="L173" s="832"/>
      <c r="M173" s="625" t="s">
        <v>3842</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3842</v>
      </c>
      <c r="J174" s="618" t="s">
        <v>3842</v>
      </c>
      <c r="K174" s="624"/>
      <c r="L174" s="832"/>
      <c r="M174" s="625" t="s">
        <v>3842</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3842</v>
      </c>
      <c r="J175" s="618" t="s">
        <v>3842</v>
      </c>
      <c r="K175" s="624"/>
      <c r="L175" s="832"/>
      <c r="M175" s="625" t="s">
        <v>3842</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3842</v>
      </c>
      <c r="J176" s="618" t="s">
        <v>3842</v>
      </c>
      <c r="K176" s="624"/>
      <c r="L176" s="832"/>
      <c r="M176" s="625" t="s">
        <v>3842</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3842</v>
      </c>
      <c r="J177" s="618" t="s">
        <v>3842</v>
      </c>
      <c r="K177" s="624"/>
      <c r="L177" s="832"/>
      <c r="M177" s="625" t="s">
        <v>3842</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3842</v>
      </c>
      <c r="J178" s="618" t="s">
        <v>3842</v>
      </c>
      <c r="K178" s="624"/>
      <c r="L178" s="832"/>
      <c r="M178" s="625" t="s">
        <v>3842</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3842</v>
      </c>
      <c r="J179" s="618" t="s">
        <v>3842</v>
      </c>
      <c r="K179" s="624"/>
      <c r="L179" s="832"/>
      <c r="M179" s="625" t="s">
        <v>3842</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3842</v>
      </c>
      <c r="J180" s="618" t="s">
        <v>3842</v>
      </c>
      <c r="K180" s="624"/>
      <c r="L180" s="832"/>
      <c r="M180" s="625" t="s">
        <v>3842</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3842</v>
      </c>
      <c r="J181" s="618" t="s">
        <v>3842</v>
      </c>
      <c r="K181" s="624"/>
      <c r="L181" s="832"/>
      <c r="M181" s="625" t="s">
        <v>3842</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3842</v>
      </c>
      <c r="J182" s="618" t="s">
        <v>3842</v>
      </c>
      <c r="K182" s="624"/>
      <c r="L182" s="832"/>
      <c r="M182" s="625" t="s">
        <v>3842</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3842</v>
      </c>
      <c r="J183" s="619" t="s">
        <v>3842</v>
      </c>
      <c r="K183" s="626"/>
      <c r="L183" s="833"/>
      <c r="M183" s="627" t="s">
        <v>3842</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formula1>1000000000</formula1>
      <formula2>9999999999</formula2>
    </dataValidation>
    <dataValidation type="list" allowBlank="1" showErrorMessage="1" sqref="K171:K183">
      <formula1>"For Profit, Nonprofit, CHDO"</formula1>
    </dataValidation>
    <dataValidation type="list" allowBlank="1" showErrorMessage="1" sqref="H154:H162">
      <formula1>"Select,Yes, No"</formula1>
    </dataValidation>
    <dataValidation type="list" allowBlank="1" showErrorMessage="1" sqref="I171:J183 M171:M183">
      <formula1>"Select, Yes, No"</formula1>
    </dataValidation>
  </dataValidations>
  <hyperlinks>
    <hyperlink ref="N13"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Magnolia Villas</v>
      </c>
    </row>
    <row r="3" spans="1:26" s="652" customFormat="1" ht="15" customHeight="1">
      <c r="A3" s="2676" t="str">
        <f>CONCATENATE('Part I-Project Identification'!F30,", ", 'Part I-Project Identification'!J30," County")</f>
        <v>Tifton, Tift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3899</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1204 Hillcrest Road,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3291</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1035000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6819</v>
      </c>
      <c r="J19" s="2681" t="s">
        <v>6820</v>
      </c>
      <c r="L19" s="2682"/>
      <c r="O19" s="2689" t="str">
        <f>'Part I-Project Identification'!O12</f>
        <v>2022PA-059</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3674</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Volunteers of America Southeast</v>
      </c>
      <c r="G22" s="2689"/>
      <c r="H22" s="2689"/>
      <c r="I22" s="2702" t="s">
        <v>1671</v>
      </c>
      <c r="J22" s="2689" t="str">
        <f>'Part I-Project Identification'!J15</f>
        <v>Robert Rogers</v>
      </c>
      <c r="K22" s="2689"/>
      <c r="L22" s="2689"/>
      <c r="M22" s="2701" t="s">
        <v>1839</v>
      </c>
      <c r="N22" s="2689" t="str">
        <f>'Part I-Project Identification'!N15</f>
        <v>President</v>
      </c>
      <c r="O22" s="2689"/>
      <c r="P22" s="2689"/>
      <c r="Q22" s="2691"/>
      <c r="R22" s="2691"/>
      <c r="S22" s="2691"/>
      <c r="Z22" s="2682">
        <v>15</v>
      </c>
    </row>
    <row r="23" spans="1:26" s="2702" customFormat="1" ht="12.75" customHeight="1">
      <c r="B23" s="2701" t="s">
        <v>1840</v>
      </c>
      <c r="F23" s="2689" t="str">
        <f>'Part I-Project Identification'!F16</f>
        <v>1204 Hillcrest Road</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Mobile</v>
      </c>
      <c r="G24" s="2689"/>
      <c r="H24" s="2689"/>
      <c r="I24" s="2701" t="s">
        <v>1672</v>
      </c>
      <c r="J24" s="2689" t="str">
        <f>'Part I-Project Identification'!J17</f>
        <v>AL</v>
      </c>
      <c r="M24" s="2704"/>
      <c r="N24" s="2704"/>
      <c r="O24" s="2704"/>
      <c r="P24" s="2704"/>
      <c r="Q24" s="2691"/>
      <c r="R24" s="2691"/>
      <c r="S24" s="2691"/>
      <c r="Z24" s="2682">
        <v>17</v>
      </c>
    </row>
    <row r="25" spans="1:26" s="2702" customFormat="1" ht="12.75" customHeight="1">
      <c r="B25" s="2701" t="s">
        <v>2062</v>
      </c>
      <c r="F25" s="2705">
        <f>'Part I-Project Identification'!F18</f>
        <v>366953930</v>
      </c>
      <c r="G25" s="2705"/>
      <c r="H25" s="2705"/>
      <c r="I25" s="2701" t="s">
        <v>1600</v>
      </c>
      <c r="J25" s="2706">
        <f>'Part I-Project Identification'!J18</f>
        <v>2513003500</v>
      </c>
      <c r="K25" s="2706"/>
      <c r="L25" s="2697" t="s">
        <v>1599</v>
      </c>
      <c r="M25" s="2707">
        <f>'Part I-Project Identification'!M18</f>
        <v>0</v>
      </c>
      <c r="N25" s="2701" t="s">
        <v>1601</v>
      </c>
      <c r="O25" s="2706">
        <f>'Part I-Project Identification'!O18</f>
        <v>2513381251</v>
      </c>
      <c r="P25" s="2706"/>
      <c r="Q25" s="2691"/>
      <c r="R25" s="2691"/>
      <c r="S25" s="2691"/>
      <c r="Z25" s="2682">
        <v>18</v>
      </c>
    </row>
    <row r="26" spans="1:26" s="2702" customFormat="1" ht="12.75" customHeight="1">
      <c r="B26" s="2701" t="s">
        <v>1843</v>
      </c>
      <c r="F26" s="2689" t="str">
        <f>'Part I-Project Identification'!F19</f>
        <v>rrogers@voase.org</v>
      </c>
      <c r="G26" s="2689"/>
      <c r="H26" s="2689"/>
      <c r="I26" s="2689"/>
      <c r="J26" s="2689"/>
      <c r="K26" s="2689"/>
      <c r="N26" s="2701" t="s">
        <v>1838</v>
      </c>
      <c r="O26" s="2706">
        <f>'Part I-Project Identification'!O19</f>
        <v>0</v>
      </c>
      <c r="P26" s="2706"/>
      <c r="Q26" s="2691"/>
      <c r="R26" s="2691"/>
      <c r="S26" s="2691"/>
      <c r="Z26" s="2682">
        <v>19</v>
      </c>
    </row>
    <row r="27" spans="1:26" s="2702" customFormat="1" ht="12.75" customHeight="1">
      <c r="A27" s="2697"/>
      <c r="B27" s="2702" t="s">
        <v>3673</v>
      </c>
      <c r="C27" s="2708"/>
      <c r="H27" s="2697"/>
      <c r="J27" s="2708"/>
      <c r="P27" s="2697"/>
      <c r="Q27" s="2691"/>
      <c r="R27" s="2691"/>
      <c r="S27" s="2691"/>
      <c r="Z27" s="2682">
        <v>20</v>
      </c>
    </row>
    <row r="28" spans="1:26" s="2702" customFormat="1" ht="12.75" customHeight="1">
      <c r="B28" s="2702" t="s">
        <v>3297</v>
      </c>
      <c r="F28" s="2689" t="str">
        <f>'Part I-Project Identification'!F21</f>
        <v>Volunteers of America Southeast</v>
      </c>
      <c r="G28" s="2689"/>
      <c r="H28" s="2689"/>
      <c r="I28" s="2702" t="s">
        <v>1671</v>
      </c>
      <c r="J28" s="2689" t="str">
        <f>'Part I-Project Identification'!J21</f>
        <v>Sherry Atchison</v>
      </c>
      <c r="K28" s="2689"/>
      <c r="L28" s="2689"/>
      <c r="M28" s="2701" t="s">
        <v>1839</v>
      </c>
      <c r="N28" s="2689" t="str">
        <f>'Part I-Project Identification'!N21</f>
        <v>Director of Project Development</v>
      </c>
      <c r="O28" s="2689"/>
      <c r="P28" s="2689"/>
      <c r="Q28" s="2691"/>
      <c r="R28" s="2691"/>
      <c r="S28" s="2691"/>
      <c r="Z28" s="2697">
        <v>21</v>
      </c>
    </row>
    <row r="29" spans="1:26" s="2702" customFormat="1" ht="12.75" customHeight="1">
      <c r="B29" s="2701" t="s">
        <v>1840</v>
      </c>
      <c r="F29" s="2689" t="str">
        <f>'Part I-Project Identification'!F22</f>
        <v>1204 Hillcrest Road</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Mobile</v>
      </c>
      <c r="G30" s="2689"/>
      <c r="H30" s="2689"/>
      <c r="I30" s="2701" t="s">
        <v>1672</v>
      </c>
      <c r="J30" s="2710" t="str">
        <f>'Part I-Project Identification'!J23</f>
        <v>AL</v>
      </c>
      <c r="M30" s="2709"/>
      <c r="N30" s="2709"/>
      <c r="O30" s="2709"/>
      <c r="P30" s="2709"/>
      <c r="Q30" s="2691"/>
      <c r="R30" s="2691"/>
      <c r="S30" s="2691"/>
      <c r="Z30" s="2682">
        <v>23</v>
      </c>
    </row>
    <row r="31" spans="1:26" s="2702" customFormat="1" ht="12.75" customHeight="1">
      <c r="B31" s="2701" t="s">
        <v>2062</v>
      </c>
      <c r="F31" s="2705">
        <f>'Part I-Project Identification'!F24</f>
        <v>366953930</v>
      </c>
      <c r="G31" s="2705"/>
      <c r="H31" s="2705"/>
      <c r="I31" s="2701" t="s">
        <v>1600</v>
      </c>
      <c r="J31" s="2706">
        <f>'Part I-Project Identification'!J24</f>
        <v>2513993599</v>
      </c>
      <c r="K31" s="2706"/>
      <c r="L31" s="2697" t="s">
        <v>1599</v>
      </c>
      <c r="M31" s="2707">
        <f>'Part I-Project Identification'!M24</f>
        <v>0</v>
      </c>
      <c r="N31" s="2701" t="s">
        <v>1601</v>
      </c>
      <c r="O31" s="2706">
        <f>'Part I-Project Identification'!O24</f>
        <v>2513381251</v>
      </c>
      <c r="P31" s="2706"/>
      <c r="Q31" s="2691"/>
      <c r="R31" s="2691"/>
      <c r="S31" s="2691"/>
      <c r="Z31" s="2682">
        <v>24</v>
      </c>
    </row>
    <row r="32" spans="1:26" s="2702" customFormat="1" ht="12.75" customHeight="1">
      <c r="B32" s="2701" t="s">
        <v>1843</v>
      </c>
      <c r="F32" s="2689" t="str">
        <f>'Part I-Project Identification'!F25</f>
        <v>satchison@voase.org</v>
      </c>
      <c r="G32" s="2689"/>
      <c r="H32" s="2689"/>
      <c r="I32" s="2689"/>
      <c r="J32" s="2689"/>
      <c r="K32" s="2689"/>
      <c r="N32" s="2701" t="s">
        <v>1838</v>
      </c>
      <c r="O32" s="2706">
        <f>'Part I-Project Identification'!O25</f>
        <v>0</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Magnolia Villas</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Tifton</v>
      </c>
      <c r="G37" s="2689"/>
      <c r="H37" s="2689"/>
      <c r="I37" s="2712" t="s">
        <v>576</v>
      </c>
      <c r="J37" s="2689" t="str">
        <f>'Part I-Project Identification'!J30</f>
        <v>Tift</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3910</v>
      </c>
      <c r="C38" s="2713"/>
      <c r="D38" s="2713"/>
      <c r="E38" s="2713"/>
      <c r="F38" s="2689" t="str">
        <f>'Part I-Project Identification'!F31</f>
        <v>Unincorporated County</v>
      </c>
      <c r="G38" s="2689"/>
      <c r="H38" s="2689"/>
      <c r="I38" s="2682"/>
      <c r="J38" s="499" t="s">
        <v>6728</v>
      </c>
      <c r="K38" s="2682"/>
      <c r="M38" s="2701" t="s">
        <v>6674</v>
      </c>
      <c r="N38" s="2702"/>
      <c r="O38" s="2689">
        <f>'Part I-Project Identification'!O31</f>
        <v>8.6140000000000008</v>
      </c>
      <c r="P38" s="2714"/>
      <c r="Q38" s="2691"/>
      <c r="R38" s="2691"/>
      <c r="S38" s="2691"/>
      <c r="Z38" s="2682">
        <v>31</v>
      </c>
    </row>
    <row r="39" spans="1:26" s="2681" customFormat="1" ht="12.75" customHeight="1">
      <c r="A39" s="2682"/>
      <c r="B39" s="2681" t="s">
        <v>1456</v>
      </c>
      <c r="F39" s="2689" t="str">
        <f>'Part I-Project Identification'!F32</f>
        <v>Yes</v>
      </c>
      <c r="I39" s="2682"/>
      <c r="J39" s="2682" t="s">
        <v>2501</v>
      </c>
      <c r="K39" s="2682" t="str">
        <f>IF(F39="Yes","Rural","Urban")</f>
        <v>Rural</v>
      </c>
      <c r="M39" s="2694" t="s">
        <v>2400</v>
      </c>
      <c r="N39" s="2682" t="str">
        <f>'Part I-Project Identification'!N32</f>
        <v>Non-MSA</v>
      </c>
      <c r="O39" s="2689" t="str">
        <f>'Part I-Project Identification'!O32</f>
        <v>Tift Co.</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3936</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f>'Part I-Project Identification'!A45</f>
        <v>0</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Magnolia Villas, ,  County</v>
      </c>
      <c r="Z56" s="2682">
        <v>2</v>
      </c>
    </row>
    <row r="57" spans="1:26" s="2693" customFormat="1" ht="12" customHeight="1">
      <c r="A57" s="2694" t="s">
        <v>3660</v>
      </c>
      <c r="Z57" s="2682">
        <v>3</v>
      </c>
    </row>
    <row r="58" spans="1:26" s="2681" customFormat="1" ht="13.35" customHeight="1">
      <c r="A58" s="2681" t="s">
        <v>573</v>
      </c>
      <c r="B58" s="2694" t="s">
        <v>1722</v>
      </c>
      <c r="C58" s="2694"/>
      <c r="E58" s="2694"/>
      <c r="F58" s="2694"/>
      <c r="G58" s="2694"/>
      <c r="H58" s="2686" t="s">
        <v>3462</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3463</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3462</v>
      </c>
      <c r="H65" s="2728"/>
      <c r="I65" s="2689"/>
      <c r="J65" s="2689"/>
      <c r="K65" s="2698"/>
      <c r="L65" s="2689"/>
      <c r="M65" s="2689"/>
      <c r="N65" s="2689" t="s">
        <v>6794</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3463</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3463</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3463</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3462</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3463</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3463</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3462</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3463</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3462</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3463</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3463</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3463</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3463</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3462</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3463</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3463</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3463</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3463</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3463</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3463</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6821</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6228</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6228</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6228</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6228</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6228</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6228</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6797</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6228</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6798</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6228</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6523</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6226</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3893</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3892</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6800</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Magnolia Villas, Tifton, Tift County</v>
      </c>
      <c r="B244" s="2681"/>
      <c r="C244" s="2681"/>
      <c r="D244" s="2681"/>
      <c r="E244" s="2681"/>
      <c r="F244" s="2681"/>
      <c r="G244" s="2681"/>
      <c r="H244" s="2681"/>
      <c r="I244" s="2681"/>
      <c r="J244" s="2681"/>
      <c r="K244" s="2681"/>
      <c r="L244" s="2681"/>
      <c r="M244" s="2681"/>
      <c r="N244" s="2681"/>
      <c r="O244" s="2681"/>
      <c r="P244" s="2681"/>
      <c r="Q244" s="2681"/>
      <c r="S244" s="2719" t="str">
        <f>$A$2</f>
        <v>Magnolia Villas</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6082</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3880</v>
      </c>
      <c r="D249" s="2681"/>
      <c r="E249" s="2707" t="str">
        <f>'Part II-Sources of Funds'!E7</f>
        <v>No</v>
      </c>
      <c r="F249" s="2686" t="s">
        <v>6083</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6668</v>
      </c>
      <c r="F250" s="2719" t="s">
        <v>6671</v>
      </c>
      <c r="H250" s="2698" t="str">
        <f>'Part II-Sources of Funds'!H8</f>
        <v>Specify Other HOME Source here</v>
      </c>
      <c r="I250" s="2698"/>
      <c r="J250" s="2698"/>
      <c r="L250" s="2707" t="str">
        <f>'Part II-Sources of Funds'!L8</f>
        <v>No</v>
      </c>
      <c r="M250" s="2686" t="s">
        <v>6673</v>
      </c>
      <c r="P250" s="2758"/>
      <c r="Q250" s="2758"/>
      <c r="S250" s="2723"/>
      <c r="T250" s="2723"/>
      <c r="Y250" s="2752"/>
      <c r="Z250" s="2682">
        <v>8</v>
      </c>
      <c r="AZ250" s="2752"/>
    </row>
    <row r="251" spans="1:52" s="2719" customFormat="1" ht="16.5" customHeight="1">
      <c r="A251" s="2682"/>
      <c r="B251" s="2707" t="str">
        <f>'Part II-Sources of Funds'!B9</f>
        <v>No</v>
      </c>
      <c r="C251" s="2719" t="s">
        <v>3302</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3881</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6670</v>
      </c>
      <c r="E255" s="2707" t="str">
        <f>'Part II-Sources of Funds'!E13</f>
        <v>No</v>
      </c>
      <c r="F255" s="2686" t="s">
        <v>6672</v>
      </c>
      <c r="H255" s="2698" t="str">
        <f>'Part II-Sources of Funds'!H13</f>
        <v>Specify Other PBRA Source here</v>
      </c>
      <c r="I255" s="2698"/>
      <c r="J255" s="2698"/>
      <c r="L255" s="2707" t="str">
        <f>'Part II-Sources of Funds'!L13</f>
        <v>No</v>
      </c>
      <c r="M255" s="2719" t="s">
        <v>6081</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3301</v>
      </c>
      <c r="L256" s="2707" t="str">
        <f>'Part II-Sources of Funds'!L14</f>
        <v>No</v>
      </c>
      <c r="M256" s="2719" t="s">
        <v>6717</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6084</v>
      </c>
      <c r="L257" s="2707" t="str">
        <f>'Part II-Sources of Funds'!L15</f>
        <v>No</v>
      </c>
      <c r="M257" s="2759" t="s">
        <v>6085</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6504</v>
      </c>
      <c r="I258" s="2756">
        <f>'Part II-Sources of Funds'!I16</f>
        <v>0</v>
      </c>
      <c r="J258" s="2760"/>
      <c r="L258" s="2707" t="str">
        <f>'Part II-Sources of Funds'!L16</f>
        <v>No</v>
      </c>
      <c r="M258" s="2759" t="s">
        <v>6080</v>
      </c>
      <c r="Y258" s="2752"/>
      <c r="Z258" s="2682">
        <v>16</v>
      </c>
      <c r="AZ258" s="2752"/>
    </row>
    <row r="259" spans="1:52" s="2719" customFormat="1" ht="17.100000000000001" customHeight="1">
      <c r="A259" s="2682"/>
      <c r="B259" s="2719" t="s">
        <v>3882</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3848</v>
      </c>
      <c r="M263" s="2681"/>
      <c r="N263" s="2681" t="s">
        <v>1411</v>
      </c>
      <c r="O263" s="2681"/>
      <c r="P263" s="2681" t="s">
        <v>1524</v>
      </c>
      <c r="Q263" s="2681"/>
      <c r="S263" s="2755" t="s">
        <v>2449</v>
      </c>
      <c r="T263" s="2755"/>
      <c r="Y263" s="2752"/>
      <c r="Z263" s="2682">
        <v>21</v>
      </c>
      <c r="AZ263" s="2752" t="s">
        <v>6346</v>
      </c>
    </row>
    <row r="264" spans="1:52" s="2719" customFormat="1" ht="15.75" customHeight="1">
      <c r="A264" s="2681"/>
      <c r="B264" s="2681" t="s">
        <v>1487</v>
      </c>
      <c r="C264" s="2681"/>
      <c r="D264" s="2681"/>
      <c r="E264" s="2681"/>
      <c r="F264" s="2681"/>
      <c r="G264" s="2681"/>
      <c r="H264" s="2739" t="str">
        <f>'Part II-Sources of Funds'!H22</f>
        <v>Sterling Bank</v>
      </c>
      <c r="I264" s="2739"/>
      <c r="J264" s="2739"/>
      <c r="K264" s="2739"/>
      <c r="L264" s="2762">
        <f>'Part II-Sources of Funds'!L22</f>
        <v>9396368</v>
      </c>
      <c r="M264" s="2762"/>
      <c r="N264" s="2763">
        <f>'Part II-Sources of Funds'!N22</f>
        <v>5.5E-2</v>
      </c>
      <c r="O264" s="2763"/>
      <c r="P264" s="2764">
        <f>'Part II-Sources of Funds'!P22</f>
        <v>24</v>
      </c>
      <c r="Q264" s="2764"/>
      <c r="S264" s="2723"/>
      <c r="T264" s="2723"/>
      <c r="Y264" s="2752" t="s">
        <v>6346</v>
      </c>
      <c r="Z264" s="2682">
        <v>22</v>
      </c>
      <c r="AZ264" s="2752" t="s">
        <v>6347</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6347</v>
      </c>
      <c r="Z265" s="2682">
        <v>23</v>
      </c>
      <c r="AZ265" s="2752" t="s">
        <v>6348</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6348</v>
      </c>
      <c r="Z266" s="2682">
        <v>24</v>
      </c>
      <c r="AZ266" s="2752" t="s">
        <v>6349</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6349</v>
      </c>
      <c r="Z267" s="2682">
        <v>25</v>
      </c>
      <c r="AZ267" s="2752" t="s">
        <v>6350</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6350</v>
      </c>
      <c r="Z268" s="2697">
        <v>26</v>
      </c>
      <c r="AZ268" s="2752" t="s">
        <v>6351</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6351</v>
      </c>
      <c r="Z269" s="2682">
        <v>27</v>
      </c>
      <c r="AZ269" s="2752" t="s">
        <v>6352</v>
      </c>
    </row>
    <row r="270" spans="1:52" s="2719" customFormat="1" ht="15.75" customHeight="1">
      <c r="A270" s="2681"/>
      <c r="B270" s="2681" t="s">
        <v>746</v>
      </c>
      <c r="C270" s="2681"/>
      <c r="D270" s="2681"/>
      <c r="E270" s="2681"/>
      <c r="H270" s="2739" t="str">
        <f>'Part II-Sources of Funds'!H28</f>
        <v>Affordable Equity Partners, Inc.</v>
      </c>
      <c r="I270" s="2739"/>
      <c r="J270" s="2739"/>
      <c r="K270" s="2739"/>
      <c r="L270" s="2762">
        <f>'Part II-Sources of Funds'!L28</f>
        <v>1741730</v>
      </c>
      <c r="M270" s="2762"/>
      <c r="N270" s="2681"/>
      <c r="Q270" s="2681"/>
      <c r="S270" s="2723"/>
      <c r="T270" s="2723"/>
      <c r="Y270" s="2752" t="s">
        <v>6352</v>
      </c>
      <c r="Z270" s="2682">
        <v>28</v>
      </c>
      <c r="AZ270" s="2752" t="s">
        <v>6353</v>
      </c>
    </row>
    <row r="271" spans="1:52" s="2719" customFormat="1" ht="15.75" customHeight="1">
      <c r="A271" s="2681"/>
      <c r="B271" s="2681" t="s">
        <v>747</v>
      </c>
      <c r="C271" s="2681"/>
      <c r="D271" s="2681"/>
      <c r="E271" s="2681"/>
      <c r="H271" s="2739" t="str">
        <f>'Part II-Sources of Funds'!H29</f>
        <v>Affordable Equity Partners, Inc.</v>
      </c>
      <c r="I271" s="2739"/>
      <c r="J271" s="2739"/>
      <c r="K271" s="2739"/>
      <c r="L271" s="2762">
        <f>'Part II-Sources of Funds'!L29</f>
        <v>783496</v>
      </c>
      <c r="M271" s="2762"/>
      <c r="N271" s="2681"/>
      <c r="Q271" s="2681"/>
      <c r="S271" s="2723"/>
      <c r="T271" s="2723"/>
      <c r="Y271" s="2752" t="s">
        <v>6353</v>
      </c>
      <c r="Z271" s="2682">
        <v>29</v>
      </c>
      <c r="AZ271" s="2752" t="s">
        <v>6354</v>
      </c>
    </row>
    <row r="272" spans="1:52" s="2719" customFormat="1" ht="15.75" customHeight="1">
      <c r="A272" s="2681"/>
      <c r="B272" s="2681" t="s">
        <v>232</v>
      </c>
      <c r="C272" s="2681"/>
      <c r="D272" s="2739" t="str">
        <f>'Part II-Sources of Funds'!D30</f>
        <v>GP/LP Equity</v>
      </c>
      <c r="E272" s="2739"/>
      <c r="F272" s="2739"/>
      <c r="G272" s="2739"/>
      <c r="H272" s="2739">
        <f>'Part II-Sources of Funds'!H30</f>
        <v>0</v>
      </c>
      <c r="I272" s="2739"/>
      <c r="J272" s="2739"/>
      <c r="K272" s="2739"/>
      <c r="L272" s="2762">
        <f>'Part II-Sources of Funds'!L30</f>
        <v>110</v>
      </c>
      <c r="M272" s="2762"/>
      <c r="N272" s="2681"/>
      <c r="Q272" s="2681"/>
      <c r="S272" s="2723"/>
      <c r="T272" s="2723"/>
      <c r="Y272" s="2752" t="s">
        <v>6354</v>
      </c>
      <c r="Z272" s="2682">
        <v>30</v>
      </c>
      <c r="AZ272" s="2752" t="s">
        <v>6355</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6355</v>
      </c>
      <c r="Z273" s="2682">
        <v>31</v>
      </c>
      <c r="AZ273" s="2752" t="s">
        <v>6356</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6356</v>
      </c>
      <c r="Z274" s="2682">
        <v>32</v>
      </c>
      <c r="AZ274" s="2752"/>
    </row>
    <row r="275" spans="1:52" s="2719" customFormat="1" ht="16.5" customHeight="1">
      <c r="A275" s="2681"/>
      <c r="B275" s="2694" t="s">
        <v>1222</v>
      </c>
      <c r="C275" s="2681"/>
      <c r="D275" s="2681"/>
      <c r="E275" s="2681"/>
      <c r="F275" s="2681"/>
      <c r="G275" s="2681"/>
      <c r="H275" s="2681"/>
      <c r="I275" s="2681"/>
      <c r="L275" s="2766">
        <f>SUM(L264:L274)</f>
        <v>11921704</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11921704</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3847</v>
      </c>
      <c r="J281" s="2681"/>
      <c r="K281" s="2682" t="s">
        <v>1676</v>
      </c>
      <c r="L281" s="2682" t="s">
        <v>2047</v>
      </c>
      <c r="M281" s="2682" t="s">
        <v>2047</v>
      </c>
      <c r="N281" s="2681" t="s">
        <v>69</v>
      </c>
      <c r="O281" s="2681"/>
      <c r="P281" s="2771"/>
      <c r="Q281" s="2771"/>
      <c r="S281" s="2755" t="s">
        <v>2449</v>
      </c>
      <c r="T281" s="2755"/>
      <c r="Y281" s="2752"/>
      <c r="Z281" s="2682">
        <v>39</v>
      </c>
      <c r="AZ281" s="2752" t="s">
        <v>6357</v>
      </c>
    </row>
    <row r="282" spans="1:52" s="2719" customFormat="1" ht="15" customHeight="1">
      <c r="A282" s="2681"/>
      <c r="B282" s="2681" t="s">
        <v>2403</v>
      </c>
      <c r="C282" s="2681"/>
      <c r="D282" s="2681"/>
      <c r="E282" s="2739" t="str">
        <f>'Part II-Sources of Funds'!E40</f>
        <v>Sterling Bank</v>
      </c>
      <c r="F282" s="2739"/>
      <c r="G282" s="2739"/>
      <c r="H282" s="2739"/>
      <c r="I282" s="2762">
        <f>'Part II-Sources of Funds'!I40</f>
        <v>525000</v>
      </c>
      <c r="J282" s="2689"/>
      <c r="K282" s="2763">
        <f>'Part II-Sources of Funds'!K40</f>
        <v>6.5000000000000002E-2</v>
      </c>
      <c r="L282" s="2707">
        <f>'Part II-Sources of Funds'!L40</f>
        <v>15</v>
      </c>
      <c r="M282" s="2707">
        <f>'Part II-Sources of Funds'!M40</f>
        <v>30</v>
      </c>
      <c r="N282" s="2689" t="str">
        <f>'Part II-Sources of Funds'!N40</f>
        <v>Amortizing</v>
      </c>
      <c r="O282" s="2689"/>
      <c r="P282" s="2767">
        <f>'Part II-Sources of Funds'!P40</f>
        <v>39820.285480056715</v>
      </c>
      <c r="Q282" s="2767"/>
      <c r="S282" s="2723"/>
      <c r="T282" s="2723"/>
      <c r="Y282" s="2752" t="s">
        <v>6357</v>
      </c>
      <c r="Z282" s="2682">
        <v>40</v>
      </c>
      <c r="AZ282" s="2752" t="s">
        <v>6358</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6358</v>
      </c>
      <c r="Z283" s="2682">
        <v>41</v>
      </c>
      <c r="AZ283" s="2752" t="s">
        <v>6359</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6359</v>
      </c>
      <c r="Z284" s="2682">
        <v>42</v>
      </c>
      <c r="AZ284" s="2752" t="s">
        <v>6360</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6360</v>
      </c>
      <c r="Z285" s="2682">
        <v>43</v>
      </c>
      <c r="AZ285" s="2752" t="s">
        <v>6361</v>
      </c>
    </row>
    <row r="286" spans="1:52" s="2719" customFormat="1" ht="15" customHeight="1">
      <c r="A286" s="2681"/>
      <c r="B286" s="2681" t="s">
        <v>3947</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6361</v>
      </c>
      <c r="Z286" s="2697">
        <v>44</v>
      </c>
      <c r="AZ286" s="2752" t="s">
        <v>6362</v>
      </c>
    </row>
    <row r="287" spans="1:52" s="2719" customFormat="1" ht="15" customHeight="1">
      <c r="A287" s="2681"/>
      <c r="B287" s="2681" t="s">
        <v>220</v>
      </c>
      <c r="C287" s="2681"/>
      <c r="D287" s="2774">
        <f>'Part II-Sources of Funds'!D45</f>
        <v>1.6222489959839357E-2</v>
      </c>
      <c r="E287" s="2739" t="str">
        <f>'Part II-Sources of Funds'!E45</f>
        <v>Volunteers of America Southeast, Inc.</v>
      </c>
      <c r="F287" s="2739"/>
      <c r="G287" s="2739"/>
      <c r="H287" s="2739"/>
      <c r="I287" s="2762">
        <f>'Part II-Sources of Funds'!I45</f>
        <v>20197</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6362</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f>'Part II-Sources of Funds'!F47</f>
        <v>221299.30506328237</v>
      </c>
      <c r="H289" s="2780" t="s">
        <v>3406</v>
      </c>
      <c r="I289" s="2779">
        <f>'Part II-Sources of Funds'!I47</f>
        <v>20197</v>
      </c>
      <c r="K289" s="2780" t="s">
        <v>3408</v>
      </c>
      <c r="L289" s="2781">
        <f>'Part II-Sources of Funds'!L47</f>
        <v>9.126553738713504E-2</v>
      </c>
      <c r="M289" s="2781"/>
      <c r="N289" s="2767" t="s">
        <v>3851</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6363</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6363</v>
      </c>
      <c r="Z291" s="2682">
        <v>49</v>
      </c>
      <c r="AZ291" s="2752" t="s">
        <v>6364</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6364</v>
      </c>
      <c r="Z292" s="2682">
        <v>50</v>
      </c>
      <c r="AZ292" s="2752" t="s">
        <v>6365</v>
      </c>
    </row>
    <row r="293" spans="1:52" s="2719" customFormat="1" ht="15" customHeight="1">
      <c r="A293" s="2681"/>
      <c r="B293" s="2681" t="s">
        <v>746</v>
      </c>
      <c r="C293" s="2681"/>
      <c r="D293" s="2681"/>
      <c r="E293" s="2739" t="str">
        <f>'Part II-Sources of Funds'!E51</f>
        <v>Affordable Equity Partners, Inc.</v>
      </c>
      <c r="F293" s="2739"/>
      <c r="G293" s="2739"/>
      <c r="H293" s="2739"/>
      <c r="I293" s="2762">
        <f>'Part II-Sources of Funds'!I51</f>
        <v>8708645</v>
      </c>
      <c r="J293" s="2772"/>
      <c r="L293" s="2786">
        <f>'Part III-A-Uses of Funds'!$J$191*10*'Part III-A-Uses of Funds'!$N$182</f>
        <v>8797500</v>
      </c>
      <c r="M293" s="2786"/>
      <c r="N293" s="2787">
        <f>I293-L293</f>
        <v>-88855</v>
      </c>
      <c r="O293" s="2787"/>
      <c r="P293" s="2788">
        <f>I293/I303</f>
        <v>0.66117703115994952</v>
      </c>
      <c r="Q293" s="2681"/>
      <c r="S293" s="2723"/>
      <c r="T293" s="2723"/>
      <c r="Y293" s="2752" t="s">
        <v>6365</v>
      </c>
      <c r="Z293" s="2697">
        <v>51</v>
      </c>
      <c r="AZ293" s="2752" t="s">
        <v>6366</v>
      </c>
    </row>
    <row r="294" spans="1:52" s="2719" customFormat="1" ht="15" customHeight="1">
      <c r="A294" s="2681"/>
      <c r="B294" s="2681" t="s">
        <v>747</v>
      </c>
      <c r="C294" s="2681"/>
      <c r="D294" s="2681"/>
      <c r="E294" s="2739" t="str">
        <f>'Part II-Sources of Funds'!E52</f>
        <v>Affordable Equity Partners, Inc.</v>
      </c>
      <c r="F294" s="2739"/>
      <c r="G294" s="2739"/>
      <c r="H294" s="2739"/>
      <c r="I294" s="2762">
        <f>'Part II-Sources of Funds'!I52</f>
        <v>3917475</v>
      </c>
      <c r="J294" s="2772"/>
      <c r="L294" s="2786">
        <f>'Part III-A-Uses of Funds'!$J$191*10*'Part III-A-Uses of Funds'!$Q$182</f>
        <v>3829500</v>
      </c>
      <c r="M294" s="2786"/>
      <c r="N294" s="2787">
        <f>I294-L294</f>
        <v>87975</v>
      </c>
      <c r="O294" s="2787"/>
      <c r="P294" s="2788">
        <f>I294/I303</f>
        <v>0.29742221552759623</v>
      </c>
      <c r="Q294" s="2681"/>
      <c r="S294" s="2723"/>
      <c r="T294" s="2723"/>
      <c r="Y294" s="2752" t="s">
        <v>6366</v>
      </c>
      <c r="Z294" s="2682">
        <v>52</v>
      </c>
      <c r="AZ294" s="2752" t="s">
        <v>6367</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0.9585992466875457</v>
      </c>
      <c r="Q295" s="2681"/>
      <c r="S295" s="2723"/>
      <c r="T295" s="2723"/>
      <c r="Y295" s="2752" t="s">
        <v>6367</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6368</v>
      </c>
    </row>
    <row r="299" spans="1:52" s="2719" customFormat="1" ht="15" customHeight="1">
      <c r="A299" s="2681"/>
      <c r="B299" s="2681" t="s">
        <v>690</v>
      </c>
      <c r="C299" s="2739" t="str">
        <f>'Part II-Sources of Funds'!C57</f>
        <v>GP/LP Equity</v>
      </c>
      <c r="D299" s="2739"/>
      <c r="E299" s="2739">
        <f>'Part II-Sources of Funds'!E57</f>
        <v>0</v>
      </c>
      <c r="F299" s="2739"/>
      <c r="G299" s="2739"/>
      <c r="H299" s="2739"/>
      <c r="I299" s="2762">
        <f>'Part II-Sources of Funds'!I57</f>
        <v>110</v>
      </c>
      <c r="J299" s="2772"/>
      <c r="M299" s="2683"/>
      <c r="N299" s="2683"/>
      <c r="O299" s="2683"/>
      <c r="P299" s="2683"/>
      <c r="Q299" s="2681"/>
      <c r="S299" s="2723"/>
      <c r="T299" s="2723"/>
      <c r="Y299" s="2752" t="s">
        <v>6368</v>
      </c>
      <c r="Z299" s="2682">
        <v>57</v>
      </c>
      <c r="AZ299" s="2752" t="s">
        <v>6369</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6369</v>
      </c>
      <c r="Z300" s="2682">
        <v>58</v>
      </c>
      <c r="AZ300" s="2752" t="s">
        <v>6370</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6370</v>
      </c>
      <c r="Z301" s="2682">
        <v>59</v>
      </c>
      <c r="AZ301" s="2752"/>
    </row>
    <row r="302" spans="1:52" s="2719" customFormat="1" ht="14.25" customHeight="1">
      <c r="A302" s="2681"/>
      <c r="B302" s="2694" t="s">
        <v>2049</v>
      </c>
      <c r="C302" s="2681"/>
      <c r="D302" s="2681"/>
      <c r="E302" s="2681"/>
      <c r="F302" s="2681"/>
      <c r="G302" s="2681"/>
      <c r="I302" s="2766">
        <f>SUM(I282:J287)+SUM(I291:J301)</f>
        <v>13171427</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13171427</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3948</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f>'Part II-Sources of Funds'!A66</f>
        <v>0</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Magnolia Villas, ,  County</v>
      </c>
      <c r="W312" s="2681" t="str">
        <f>A312</f>
        <v>PART THREE (A):  USES OF FUNDS  -  2022-0 Magnolia Villas,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12000</v>
      </c>
      <c r="H319" s="2762"/>
      <c r="J319" s="2762">
        <f>'Part III-A-Uses of Funds'!J9</f>
        <v>12000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10000</v>
      </c>
      <c r="H320" s="2762"/>
      <c r="J320" s="2762">
        <f>'Part III-A-Uses of Funds'!J10</f>
        <v>10000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12500</v>
      </c>
      <c r="H321" s="2762"/>
      <c r="J321" s="2762">
        <f>'Part III-A-Uses of Funds'!J11</f>
        <v>12500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12000</v>
      </c>
      <c r="H322" s="2762"/>
      <c r="J322" s="2762">
        <f>'Part III-A-Uses of Funds'!J12</f>
        <v>12000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15000</v>
      </c>
      <c r="H323" s="2762"/>
      <c r="J323" s="2762">
        <f>'Part III-A-Uses of Funds'!J13</f>
        <v>15000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6277</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6371</v>
      </c>
      <c r="BA325" s="2682">
        <v>15</v>
      </c>
    </row>
    <row r="326" spans="1:53" s="2681" customFormat="1" ht="11.25" customHeight="1">
      <c r="A326" s="2798" t="str">
        <f>IF(AND(G326&gt;0,OR(C326="",C326="&lt;Enter detailed description here; use Comments section if needed&gt;")),"X","")</f>
        <v/>
      </c>
      <c r="B326" s="2692" t="s">
        <v>6278</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6372</v>
      </c>
      <c r="BA326" s="2682">
        <v>16</v>
      </c>
    </row>
    <row r="327" spans="1:53" s="2681" customFormat="1" ht="11.25" customHeight="1">
      <c r="A327" s="2798" t="str">
        <f>IF(AND(G327&gt;0,OR(C327="",C327="&lt;Enter detailed description here; use Comments section if needed&gt;")),"X","")</f>
        <v/>
      </c>
      <c r="B327" s="2692" t="s">
        <v>6279</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6373</v>
      </c>
      <c r="BA327" s="2682">
        <v>17</v>
      </c>
    </row>
    <row r="328" spans="1:53" s="2681" customFormat="1" ht="12.6" customHeight="1">
      <c r="F328" s="2800" t="s">
        <v>184</v>
      </c>
      <c r="G328" s="2792">
        <f>SUM(G319:G327)</f>
        <v>61500</v>
      </c>
      <c r="H328" s="2792"/>
      <c r="J328" s="2792">
        <f>SUM(J319:J327)</f>
        <v>61500</v>
      </c>
      <c r="K328" s="2792"/>
      <c r="L328" s="2795"/>
      <c r="M328" s="2792">
        <f>SUM(M319:M327)</f>
        <v>0</v>
      </c>
      <c r="N328" s="2792"/>
      <c r="P328" s="2792">
        <f>SUM(P319:P327)</f>
        <v>0</v>
      </c>
      <c r="Q328" s="2792"/>
      <c r="S328" s="2792">
        <f>SUM(S319:S327)</f>
        <v>0</v>
      </c>
      <c r="T328" s="2792"/>
      <c r="V328" s="2796">
        <f>SUM(V319:V327)</f>
        <v>0</v>
      </c>
      <c r="W328" s="2797"/>
      <c r="X328" s="2797"/>
      <c r="AZ328" s="2702" t="s">
        <v>6374</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62108.195960065008</v>
      </c>
      <c r="G330" s="2762">
        <f>'Part III-A-Uses of Funds'!G20</f>
        <v>535000</v>
      </c>
      <c r="H330" s="2762"/>
      <c r="J330" s="2795"/>
      <c r="K330" s="2792"/>
      <c r="L330" s="2795"/>
      <c r="M330" s="2795"/>
      <c r="N330" s="2792"/>
      <c r="P330" s="2795"/>
      <c r="Q330" s="2792"/>
      <c r="S330" s="2762">
        <f>'Part III-A-Uses of Funds'!S20</f>
        <v>535000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535000</v>
      </c>
      <c r="H334" s="2792"/>
      <c r="J334" s="2795"/>
      <c r="K334" s="2792"/>
      <c r="L334" s="2795"/>
      <c r="M334" s="2792">
        <f>SUM(M332:M333)</f>
        <v>0</v>
      </c>
      <c r="N334" s="2792"/>
      <c r="P334" s="2795"/>
      <c r="Q334" s="2792"/>
      <c r="S334" s="2792">
        <f>SUM(S330:S333)</f>
        <v>535000</v>
      </c>
      <c r="T334" s="2792"/>
      <c r="V334" s="2796">
        <f>SUM(V330:V333)</f>
        <v>0</v>
      </c>
      <c r="W334" s="2797"/>
      <c r="X334" s="2797"/>
      <c r="AZ334" s="2702" t="s">
        <v>6375</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196052.93707917343</v>
      </c>
      <c r="G336" s="2762">
        <f>'Part III-A-Uses of Funds'!G26</f>
        <v>1688800</v>
      </c>
      <c r="H336" s="2762"/>
      <c r="J336" s="2762">
        <f>'Part III-A-Uses of Funds'!J26</f>
        <v>1604360</v>
      </c>
      <c r="K336" s="2762"/>
      <c r="L336" s="2795"/>
      <c r="M336" s="2762">
        <f>'Part III-A-Uses of Funds'!M26</f>
        <v>0</v>
      </c>
      <c r="N336" s="2762"/>
      <c r="P336" s="2762">
        <f>'Part III-A-Uses of Funds'!P26</f>
        <v>0</v>
      </c>
      <c r="Q336" s="2762"/>
      <c r="S336" s="2762">
        <f>'Part III-A-Uses of Funds'!S26</f>
        <v>84440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1688800</v>
      </c>
      <c r="H338" s="2792"/>
      <c r="J338" s="2792">
        <f>SUM(J336:J337)</f>
        <v>1604360</v>
      </c>
      <c r="K338" s="2792"/>
      <c r="L338" s="2795"/>
      <c r="M338" s="2792">
        <f>M336</f>
        <v>0</v>
      </c>
      <c r="N338" s="2792"/>
      <c r="P338" s="2792">
        <f>P336</f>
        <v>0</v>
      </c>
      <c r="Q338" s="2792"/>
      <c r="S338" s="2792">
        <f>SUM(S336:S337)</f>
        <v>84440</v>
      </c>
      <c r="T338" s="2792"/>
      <c r="V338" s="2796">
        <f>SUM(V336:V337)</f>
        <v>0</v>
      </c>
      <c r="W338" s="2797"/>
      <c r="X338" s="2797"/>
      <c r="AZ338" s="2702" t="s">
        <v>6376</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6489300</v>
      </c>
      <c r="H340" s="2762"/>
      <c r="J340" s="2762">
        <f>'Part III-A-Uses of Funds'!J30</f>
        <v>6489300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6091</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6089</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6090</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6489300</v>
      </c>
      <c r="H346" s="2792"/>
      <c r="J346" s="2792">
        <f>SUM(J340:J345)</f>
        <v>6489300</v>
      </c>
      <c r="K346" s="2792"/>
      <c r="L346" s="2795"/>
      <c r="M346" s="2792">
        <f>SUM(M340:M345)</f>
        <v>0</v>
      </c>
      <c r="N346" s="2792"/>
      <c r="P346" s="2792">
        <f>SUM(P340:P345)</f>
        <v>0</v>
      </c>
      <c r="Q346" s="2792"/>
      <c r="S346" s="2792">
        <f>SUM(S340:S345)</f>
        <v>0</v>
      </c>
      <c r="T346" s="2792"/>
      <c r="V346" s="2796">
        <f>SUM(V340:V345)</f>
        <v>0</v>
      </c>
      <c r="W346" s="2797"/>
      <c r="X346" s="2797"/>
      <c r="AZ346" s="2702" t="s">
        <v>6377</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490686</v>
      </c>
      <c r="F348" s="2807">
        <f>IF(($G$28+$G$36)=0,0,G348/($G$28+$G$36))</f>
        <v>0</v>
      </c>
      <c r="G348" s="2762">
        <f>'Part III-A-Uses of Funds'!G38</f>
        <v>490686</v>
      </c>
      <c r="H348" s="2762"/>
      <c r="J348" s="2762">
        <f>'Part III-A-Uses of Funds'!J38</f>
        <v>490686</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163562</v>
      </c>
      <c r="F349" s="2807">
        <f>IF(($G$28+$G$36)=0,0,G349/($G$28+$G$36))</f>
        <v>0</v>
      </c>
      <c r="G349" s="2762">
        <f>'Part III-A-Uses of Funds'!G39</f>
        <v>163562</v>
      </c>
      <c r="H349" s="2762"/>
      <c r="I349" s="2693"/>
      <c r="J349" s="2762">
        <f>'Part III-A-Uses of Funds'!J39</f>
        <v>163562</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490686</v>
      </c>
      <c r="F350" s="2807">
        <f>IF(($G$28+$G$36)=0,0,G350/($G$28+$G$36))</f>
        <v>0</v>
      </c>
      <c r="G350" s="2762">
        <f>'Part III-A-Uses of Funds'!G40</f>
        <v>490686</v>
      </c>
      <c r="H350" s="2762"/>
      <c r="I350" s="2693"/>
      <c r="J350" s="2762">
        <f>'Part III-A-Uses of Funds'!J40</f>
        <v>490686</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1144934</v>
      </c>
      <c r="F351" s="2800" t="s">
        <v>184</v>
      </c>
      <c r="G351" s="2792">
        <f>SUM(G348:G350)</f>
        <v>1144934</v>
      </c>
      <c r="H351" s="2792"/>
      <c r="J351" s="2792">
        <f>SUM(J348:J350)</f>
        <v>1144934</v>
      </c>
      <c r="K351" s="2792"/>
      <c r="L351" s="2795"/>
      <c r="M351" s="2792">
        <f>SUM(M348:M350)</f>
        <v>0</v>
      </c>
      <c r="N351" s="2792"/>
      <c r="P351" s="2792">
        <f>SUM(P348:P350)</f>
        <v>0</v>
      </c>
      <c r="Q351" s="2792"/>
      <c r="S351" s="2792">
        <f>SUM(S348:S350)</f>
        <v>0</v>
      </c>
      <c r="T351" s="2792"/>
      <c r="V351" s="2796">
        <f>SUM(V348:V350)</f>
        <v>0</v>
      </c>
      <c r="W351" s="2797"/>
      <c r="X351" s="2797"/>
      <c r="AZ351" s="2702" t="s">
        <v>6378</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6494</v>
      </c>
      <c r="E353" s="2682"/>
      <c r="F353" s="2682"/>
      <c r="G353" s="2811">
        <f>G338+G346+G351</f>
        <v>9323034</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6379</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6280</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6380</v>
      </c>
      <c r="BA357" s="2697">
        <v>47</v>
      </c>
    </row>
    <row r="358" spans="1:53" s="2681" customFormat="1" ht="12.6" customHeight="1">
      <c r="B358" s="2813" t="s">
        <v>6828</v>
      </c>
      <c r="C358" s="2814"/>
      <c r="E358" s="2683" t="s">
        <v>2480</v>
      </c>
      <c r="F358" s="2815">
        <f>C359/'Part V-Revenues &amp; Expenses'!$P$65</f>
        <v>202674.65217391305</v>
      </c>
      <c r="G358" s="2816" t="s">
        <v>6829</v>
      </c>
      <c r="J358" s="2817">
        <f>C359/'Part V-Revenues &amp; Expenses'!$P$67</f>
        <v>202674.65217391305</v>
      </c>
      <c r="K358" s="2817"/>
      <c r="M358" s="2818" t="s">
        <v>6480</v>
      </c>
      <c r="N358" s="2818"/>
      <c r="P358" s="2817">
        <f>C359/'Part V-Revenues &amp; Expenses'!$K$175</f>
        <v>194.27844461115279</v>
      </c>
      <c r="Q358" s="2817"/>
      <c r="S358" s="2819" t="s">
        <v>6482</v>
      </c>
      <c r="T358" s="2819"/>
      <c r="V358" s="2801"/>
      <c r="W358" s="2797"/>
      <c r="X358" s="2797"/>
      <c r="AZ358" s="2702"/>
      <c r="BA358" s="2682">
        <v>48</v>
      </c>
    </row>
    <row r="359" spans="1:53" s="2681" customFormat="1" ht="12.6" customHeight="1">
      <c r="B359" s="2820" t="s">
        <v>6493</v>
      </c>
      <c r="C359" s="2821">
        <f>G338+G346+G351+G356</f>
        <v>9323034</v>
      </c>
      <c r="E359" s="2683"/>
      <c r="F359" s="2815">
        <f>C359/'Part V-Revenues &amp; Expenses'!$P$166</f>
        <v>208.79320075248589</v>
      </c>
      <c r="G359" s="2819" t="s">
        <v>6830</v>
      </c>
      <c r="J359" s="2817">
        <f>C359/'Part V-Revenues &amp; Expenses'!$P$168</f>
        <v>208.79320075248589</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6302</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466151.7</v>
      </c>
      <c r="F365" s="2774">
        <f>G365/C359</f>
        <v>4.9999924917146069E-2</v>
      </c>
      <c r="G365" s="2762">
        <f>'Part III-A-Uses of Funds'!G55</f>
        <v>466151</v>
      </c>
      <c r="H365" s="2762"/>
      <c r="I365" s="2681"/>
      <c r="J365" s="2762">
        <f>'Part III-A-Uses of Funds'!J55</f>
        <v>466151</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6303</v>
      </c>
      <c r="C367" s="2814"/>
      <c r="E367" s="2683" t="s">
        <v>6304</v>
      </c>
      <c r="F367" s="2815">
        <f>B368/'Part V-Revenues &amp; Expenses'!$P$65</f>
        <v>212808.36956521738</v>
      </c>
      <c r="G367" s="2816" t="s">
        <v>6829</v>
      </c>
      <c r="J367" s="2817">
        <f>B368/'Part V-Revenues &amp; Expenses'!$P$67</f>
        <v>212808.36956521738</v>
      </c>
      <c r="K367" s="2817"/>
      <c r="M367" s="2818" t="s">
        <v>6480</v>
      </c>
      <c r="N367" s="2818"/>
      <c r="P367" s="2817">
        <f>B368/'Part V-Revenues &amp; Expenses'!$K$175</f>
        <v>203.99235225473035</v>
      </c>
      <c r="Q367" s="2817"/>
      <c r="S367" s="2819" t="s">
        <v>6482</v>
      </c>
      <c r="T367" s="2819"/>
      <c r="V367" s="2801"/>
      <c r="W367" s="2797"/>
      <c r="X367" s="2797"/>
      <c r="AZ367" s="2702"/>
      <c r="BA367" s="2682">
        <v>54</v>
      </c>
    </row>
    <row r="368" spans="1:53" s="2681" customFormat="1" ht="12.6" customHeight="1">
      <c r="B368" s="2821">
        <f>C359+G365</f>
        <v>9789185</v>
      </c>
      <c r="C368" s="2821"/>
      <c r="E368" s="2683"/>
      <c r="F368" s="2815">
        <f>B368/'Part V-Revenues &amp; Expenses'!$P$166</f>
        <v>219.23284511332079</v>
      </c>
      <c r="G368" s="2819" t="s">
        <v>6830</v>
      </c>
      <c r="J368" s="2817">
        <f>B368/'Part V-Revenues &amp; Expenses'!$P$168</f>
        <v>219.23284511332079</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93964</v>
      </c>
      <c r="H373" s="2762"/>
      <c r="J373" s="2762">
        <f>'Part III-A-Uses of Funds'!J63</f>
        <v>93964</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333683</v>
      </c>
      <c r="H374" s="2762"/>
      <c r="J374" s="2762">
        <f>'Part III-A-Uses of Funds'!J64</f>
        <v>314192</v>
      </c>
      <c r="K374" s="2762"/>
      <c r="L374" s="2795"/>
      <c r="M374" s="2762">
        <f>'Part III-A-Uses of Funds'!M64</f>
        <v>0</v>
      </c>
      <c r="N374" s="2762"/>
      <c r="P374" s="2762">
        <f>'Part III-A-Uses of Funds'!P64</f>
        <v>0</v>
      </c>
      <c r="Q374" s="2762"/>
      <c r="S374" s="2762">
        <f>'Part III-A-Uses of Funds'!S64</f>
        <v>19491</v>
      </c>
      <c r="T374" s="2762"/>
      <c r="V374" s="2796"/>
      <c r="W374" s="2797"/>
      <c r="X374" s="2797"/>
      <c r="AZ374" s="2702"/>
      <c r="BA374" s="2682">
        <v>64</v>
      </c>
    </row>
    <row r="375" spans="1:53" s="2681" customFormat="1" ht="12" customHeight="1">
      <c r="B375" s="2681" t="s">
        <v>2169</v>
      </c>
      <c r="G375" s="2762">
        <f>'Part III-A-Uses of Funds'!G65</f>
        <v>40000</v>
      </c>
      <c r="H375" s="2762"/>
      <c r="J375" s="2762">
        <f>'Part III-A-Uses of Funds'!J65</f>
        <v>40000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6381</v>
      </c>
      <c r="BA375" s="2682">
        <v>65</v>
      </c>
    </row>
    <row r="376" spans="1:53" s="2681" customFormat="1" ht="12" customHeight="1">
      <c r="B376" s="2681" t="s">
        <v>2451</v>
      </c>
      <c r="G376" s="2762">
        <f>'Part III-A-Uses of Funds'!G66</f>
        <v>10000</v>
      </c>
      <c r="H376" s="2762"/>
      <c r="J376" s="2762">
        <f>'Part III-A-Uses of Funds'!J66</f>
        <v>10000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6382</v>
      </c>
      <c r="BA376" s="2682">
        <v>66</v>
      </c>
    </row>
    <row r="377" spans="1:53" s="2681" customFormat="1" ht="12" customHeight="1">
      <c r="B377" s="2681" t="s">
        <v>676</v>
      </c>
      <c r="G377" s="2762">
        <f>'Part III-A-Uses of Funds'!G67</f>
        <v>11500</v>
      </c>
      <c r="H377" s="2762"/>
      <c r="J377" s="2762">
        <f>'Part III-A-Uses of Funds'!J67</f>
        <v>11500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6383</v>
      </c>
      <c r="BA377" s="2682">
        <v>67</v>
      </c>
    </row>
    <row r="378" spans="1:53" s="2681" customFormat="1" ht="12" customHeight="1">
      <c r="B378" s="2681" t="s">
        <v>2170</v>
      </c>
      <c r="G378" s="2762">
        <f>'Part III-A-Uses of Funds'!G68</f>
        <v>20000</v>
      </c>
      <c r="H378" s="2762"/>
      <c r="J378" s="2762">
        <f>'Part III-A-Uses of Funds'!J68</f>
        <v>20000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30000</v>
      </c>
      <c r="H379" s="2762"/>
      <c r="J379" s="2762">
        <f>'Part III-A-Uses of Funds'!J69</f>
        <v>30000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6282</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6283</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539147</v>
      </c>
      <c r="H383" s="2792"/>
      <c r="J383" s="2792">
        <f>SUM(J371:J382)</f>
        <v>519656</v>
      </c>
      <c r="K383" s="2792"/>
      <c r="L383" s="2795"/>
      <c r="M383" s="2792">
        <f>SUM(M371:M382)</f>
        <v>0</v>
      </c>
      <c r="N383" s="2792"/>
      <c r="P383" s="2792">
        <f>SUM(P371:P382)</f>
        <v>0</v>
      </c>
      <c r="Q383" s="2792"/>
      <c r="S383" s="2792">
        <f>SUM(S371:S382)</f>
        <v>19491</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126500</v>
      </c>
      <c r="H385" s="2762"/>
      <c r="J385" s="2762">
        <f>'Part III-A-Uses of Funds'!J75</f>
        <v>126500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34500</v>
      </c>
      <c r="H386" s="2762"/>
      <c r="J386" s="2762">
        <f>'Part III-A-Uses of Funds'!J76</f>
        <v>34500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10000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18000</v>
      </c>
      <c r="H389" s="2762"/>
      <c r="J389" s="2762">
        <f>'Part III-A-Uses of Funds'!J79</f>
        <v>18000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6384</v>
      </c>
      <c r="BA389" s="2682">
        <v>79</v>
      </c>
    </row>
    <row r="390" spans="1:53" s="2681" customFormat="1" ht="12" customHeight="1">
      <c r="B390" s="2681" t="s">
        <v>1065</v>
      </c>
      <c r="G390" s="2762">
        <f>'Part III-A-Uses of Funds'!G80</f>
        <v>40000</v>
      </c>
      <c r="H390" s="2762"/>
      <c r="J390" s="2762">
        <f>'Part III-A-Uses of Funds'!J80</f>
        <v>40000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6385</v>
      </c>
      <c r="BA390" s="2682">
        <v>80</v>
      </c>
    </row>
    <row r="391" spans="1:53" s="2681" customFormat="1" ht="12" customHeight="1">
      <c r="B391" s="2681" t="s">
        <v>452</v>
      </c>
      <c r="G391" s="2762">
        <f>'Part III-A-Uses of Funds'!G81</f>
        <v>95000</v>
      </c>
      <c r="H391" s="2762"/>
      <c r="J391" s="2762">
        <f>'Part III-A-Uses of Funds'!J81</f>
        <v>95000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45000</v>
      </c>
      <c r="H392" s="2762"/>
      <c r="J392" s="2762">
        <f>'Part III-A-Uses of Funds'!J82</f>
        <v>45000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25000</v>
      </c>
      <c r="H393" s="2762"/>
      <c r="J393" s="2762">
        <f>'Part III-A-Uses of Funds'!J83</f>
        <v>25000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6284</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424000</v>
      </c>
      <c r="H396" s="2792"/>
      <c r="J396" s="2792">
        <f>SUM(J385:J395)</f>
        <v>424000</v>
      </c>
      <c r="K396" s="2792"/>
      <c r="L396" s="2795"/>
      <c r="M396" s="2792">
        <f>SUM(M385:M395)</f>
        <v>0</v>
      </c>
      <c r="N396" s="2792"/>
      <c r="P396" s="2792">
        <f>SUM(P385:P395)</f>
        <v>0</v>
      </c>
      <c r="Q396" s="2792"/>
      <c r="S396" s="2792">
        <f>SUM(S385:S395)</f>
        <v>0</v>
      </c>
      <c r="T396" s="2792"/>
      <c r="V396" s="2796">
        <f>SUM(V385:V395)</f>
        <v>0</v>
      </c>
      <c r="W396" s="2797"/>
      <c r="X396" s="2797"/>
      <c r="AZ396" s="2702" t="s">
        <v>6386</v>
      </c>
      <c r="BA396" s="2682">
        <v>86</v>
      </c>
    </row>
    <row r="397" spans="1:53" s="2693" customFormat="1" ht="12" customHeight="1">
      <c r="A397" s="2681"/>
      <c r="B397" s="2681" t="s">
        <v>1194</v>
      </c>
      <c r="C397" s="2681"/>
      <c r="D397" s="2829" t="s">
        <v>3231</v>
      </c>
      <c r="E397" s="2830">
        <f>G402/'Part V-Revenues &amp; Expenses'!$P$67</f>
        <v>2740.695652173913</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94160</v>
      </c>
      <c r="H398" s="2762"/>
      <c r="J398" s="2762">
        <f>'Part III-A-Uses of Funds'!J88</f>
        <v>94160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30480</v>
      </c>
      <c r="H400" s="2762"/>
      <c r="J400" s="2762">
        <f>'Part III-A-Uses of Funds'!J90</f>
        <v>30480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1432</v>
      </c>
      <c r="H401" s="2762"/>
      <c r="J401" s="2762">
        <f>'Part III-A-Uses of Funds'!J91</f>
        <v>1432</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126072</v>
      </c>
      <c r="H402" s="2792"/>
      <c r="J402" s="2792">
        <f>SUM(J398:J401)</f>
        <v>126072</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6387</v>
      </c>
      <c r="BA406" s="2682">
        <v>96</v>
      </c>
    </row>
    <row r="407" spans="1:53" s="2681" customFormat="1" ht="12" customHeight="1">
      <c r="B407" s="2681" t="s">
        <v>1199</v>
      </c>
      <c r="G407" s="2762">
        <f>'Part III-A-Uses of Funds'!G97</f>
        <v>5250</v>
      </c>
      <c r="H407" s="2762"/>
      <c r="J407" s="2792"/>
      <c r="K407" s="2792"/>
      <c r="L407" s="2795"/>
      <c r="M407" s="2792"/>
      <c r="N407" s="2792"/>
      <c r="P407" s="2792"/>
      <c r="Q407" s="2792"/>
      <c r="S407" s="2762">
        <f>'Part III-A-Uses of Funds'!S97</f>
        <v>5250</v>
      </c>
      <c r="T407" s="2762"/>
      <c r="V407" s="2796"/>
      <c r="W407" s="2797"/>
      <c r="X407" s="2797"/>
      <c r="AZ407" s="2702" t="s">
        <v>6388</v>
      </c>
      <c r="BA407" s="2682">
        <v>97</v>
      </c>
    </row>
    <row r="408" spans="1:53" s="2681" customFormat="1" ht="12" customHeight="1">
      <c r="B408" s="2681" t="s">
        <v>1200</v>
      </c>
      <c r="G408" s="2762">
        <f>'Part III-A-Uses of Funds'!G98</f>
        <v>15000</v>
      </c>
      <c r="H408" s="2762"/>
      <c r="J408" s="2792"/>
      <c r="K408" s="2792"/>
      <c r="L408" s="2795"/>
      <c r="M408" s="2792"/>
      <c r="N408" s="2792"/>
      <c r="P408" s="2792"/>
      <c r="Q408" s="2792"/>
      <c r="S408" s="2762">
        <f>'Part III-A-Uses of Funds'!S98</f>
        <v>15000</v>
      </c>
      <c r="T408" s="2762"/>
      <c r="V408" s="2796"/>
      <c r="W408" s="2797"/>
      <c r="X408" s="2797"/>
      <c r="AZ408" s="2702"/>
      <c r="BA408" s="2682">
        <v>98</v>
      </c>
    </row>
    <row r="409" spans="1:53" s="2681" customFormat="1" ht="12" customHeight="1">
      <c r="B409" s="2681" t="s">
        <v>1201</v>
      </c>
      <c r="G409" s="2762">
        <f>'Part III-A-Uses of Funds'!G99</f>
        <v>5000</v>
      </c>
      <c r="H409" s="2762"/>
      <c r="J409" s="2792"/>
      <c r="K409" s="2792"/>
      <c r="L409" s="2795"/>
      <c r="M409" s="2792"/>
      <c r="N409" s="2792"/>
      <c r="P409" s="2792"/>
      <c r="Q409" s="2792"/>
      <c r="S409" s="2762">
        <f>'Part III-A-Uses of Funds'!S99</f>
        <v>5000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6285</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25250</v>
      </c>
      <c r="H413" s="2792"/>
      <c r="J413" s="2792"/>
      <c r="K413" s="2792"/>
      <c r="L413" s="2795"/>
      <c r="M413" s="2792"/>
      <c r="N413" s="2792"/>
      <c r="P413" s="2792"/>
      <c r="Q413" s="2792"/>
      <c r="S413" s="2792">
        <f>SUM(S407:S412)</f>
        <v>25250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3929</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5500</v>
      </c>
      <c r="H416" s="2762"/>
      <c r="J416" s="2795"/>
      <c r="K416" s="2795"/>
      <c r="L416" s="2836"/>
      <c r="M416" s="2795"/>
      <c r="N416" s="2795"/>
      <c r="P416" s="2795"/>
      <c r="Q416" s="2795"/>
      <c r="S416" s="2762">
        <f>'Part III-A-Uses of Funds'!S106</f>
        <v>5500</v>
      </c>
      <c r="T416" s="2762"/>
      <c r="V416" s="2796"/>
      <c r="W416" s="2797"/>
      <c r="X416" s="2797"/>
      <c r="Y416" s="2683"/>
      <c r="AA416" s="2819" t="s">
        <v>3154</v>
      </c>
      <c r="AB416" s="2819"/>
      <c r="AC416" s="2819"/>
      <c r="AD416" s="2837">
        <f>'Part V-Revenues &amp; Expenses'!$P$67</f>
        <v>46</v>
      </c>
      <c r="AZ416" s="2702" t="s">
        <v>6389</v>
      </c>
      <c r="BA416" s="2682">
        <v>106</v>
      </c>
    </row>
    <row r="417" spans="1:53" s="2681" customFormat="1" ht="12.6" customHeight="1">
      <c r="B417" s="2681" t="s">
        <v>3320</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6390</v>
      </c>
      <c r="BA417" s="2682">
        <v>107</v>
      </c>
    </row>
    <row r="418" spans="1:53" s="2681" customFormat="1" ht="12.6" customHeight="1">
      <c r="B418" s="2681" t="s">
        <v>486</v>
      </c>
      <c r="E418" s="2840">
        <f>ROUNDUP('DCA Underwriting Assumptions'!$Q$53*J501,0)</f>
        <v>82800</v>
      </c>
      <c r="F418" s="2840"/>
      <c r="G418" s="2762">
        <f>'Part III-A-Uses of Funds'!G108</f>
        <v>82800</v>
      </c>
      <c r="H418" s="2762"/>
      <c r="J418" s="2841" t="str">
        <f>IF(E418&gt;G418,"WARNING!  LIHTC Allocation Fee proposed is below minimum required.","")</f>
        <v/>
      </c>
      <c r="K418" s="2795"/>
      <c r="L418" s="2795"/>
      <c r="M418" s="2795"/>
      <c r="N418" s="2795"/>
      <c r="P418" s="2795"/>
      <c r="Q418" s="2795"/>
      <c r="S418" s="2762">
        <f>'Part III-A-Uses of Funds'!S108</f>
        <v>82800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6391</v>
      </c>
      <c r="BA418" s="2682">
        <v>108</v>
      </c>
    </row>
    <row r="419" spans="1:53" s="2681" customFormat="1" ht="12.6" customHeight="1">
      <c r="B419" s="2681" t="s">
        <v>702</v>
      </c>
      <c r="E419" s="2840">
        <f>AF421+AF425</f>
        <v>36800</v>
      </c>
      <c r="F419" s="2840"/>
      <c r="G419" s="2762">
        <f>'Part III-A-Uses of Funds'!G109</f>
        <v>46000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46000</v>
      </c>
      <c r="T419" s="2762"/>
      <c r="V419" s="2796"/>
      <c r="W419" s="2797"/>
      <c r="X419" s="2797"/>
      <c r="Y419" s="2683"/>
      <c r="Z419" s="2683"/>
      <c r="AA419" s="2692" t="s">
        <v>6293</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3451</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3452</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6713</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6281</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6281</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46</v>
      </c>
      <c r="AF423" s="2843">
        <f>IF($AD$105="Income Averaging",AD423*'DCA Underwriting Assumptions'!$Q$58,AD423*'DCA Underwriting Assumptions'!$Q$57)</f>
        <v>36800</v>
      </c>
      <c r="AZ423" s="2702" t="s">
        <v>6392</v>
      </c>
      <c r="BA423" s="2682">
        <v>113</v>
      </c>
    </row>
    <row r="424" spans="1:53" s="2681" customFormat="1" ht="12.6" customHeight="1">
      <c r="F424" s="2800" t="s">
        <v>184</v>
      </c>
      <c r="G424" s="2792">
        <f>SUM(G415:G423)</f>
        <v>141300</v>
      </c>
      <c r="H424" s="2792"/>
      <c r="J424" s="2795"/>
      <c r="K424" s="2795"/>
      <c r="L424" s="2795"/>
      <c r="M424" s="2795"/>
      <c r="N424" s="2795"/>
      <c r="P424" s="2795"/>
      <c r="Q424" s="2795"/>
      <c r="S424" s="2792">
        <f>SUM(S415:S423)</f>
        <v>141300</v>
      </c>
      <c r="T424" s="2792"/>
      <c r="V424" s="2796">
        <f>SUM(V415:V423)</f>
        <v>0</v>
      </c>
      <c r="W424" s="2846"/>
      <c r="X424" s="2846"/>
      <c r="AA424" s="2692" t="s">
        <v>6486</v>
      </c>
      <c r="AB424" s="2692"/>
      <c r="AC424" s="2847"/>
      <c r="AD424" s="2842">
        <f>'Part V-Revenues &amp; Expenses'!$P$138+'Part V-Revenues &amp; Expenses'!$P$139</f>
        <v>0</v>
      </c>
      <c r="AF424" s="2843">
        <f>IF($AD$105="Income Averaging",AD424*'DCA Underwriting Assumptions'!$Q$58,AD424*'DCA Underwriting Assumptions'!$Q$57)</f>
        <v>0</v>
      </c>
      <c r="AZ424" s="2702" t="s">
        <v>6393</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46</v>
      </c>
      <c r="AF425" s="2843">
        <f>SUM(AF423:AF424)</f>
        <v>36800</v>
      </c>
      <c r="AZ425" s="2751"/>
      <c r="BA425" s="2682">
        <v>115</v>
      </c>
    </row>
    <row r="426" spans="1:53" s="2681" customFormat="1" ht="12.6" customHeight="1">
      <c r="B426" s="2681" t="s">
        <v>267</v>
      </c>
      <c r="G426" s="2762">
        <f>'Part III-A-Uses of Funds'!G116</f>
        <v>2500</v>
      </c>
      <c r="H426" s="2762"/>
      <c r="J426" s="2792"/>
      <c r="K426" s="2792"/>
      <c r="L426" s="2795"/>
      <c r="M426" s="2792"/>
      <c r="N426" s="2792"/>
      <c r="P426" s="2792"/>
      <c r="Q426" s="2792"/>
      <c r="S426" s="2762">
        <f>'Part III-A-Uses of Funds'!S116</f>
        <v>2500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0</v>
      </c>
      <c r="H428" s="2762"/>
      <c r="J428" s="2792"/>
      <c r="K428" s="2792"/>
      <c r="L428" s="2795"/>
      <c r="M428" s="2792"/>
      <c r="N428" s="2792"/>
      <c r="P428" s="2792"/>
      <c r="Q428" s="2792"/>
      <c r="S428" s="2762">
        <f>'Part III-A-Uses of Funds'!S118</f>
        <v>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6281</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2500</v>
      </c>
      <c r="H430" s="2792"/>
      <c r="J430" s="2792"/>
      <c r="K430" s="2792"/>
      <c r="L430" s="2795"/>
      <c r="M430" s="2792"/>
      <c r="N430" s="2792"/>
      <c r="P430" s="2792"/>
      <c r="Q430" s="2792"/>
      <c r="S430" s="2792">
        <f>SUM(S426:S429)</f>
        <v>2500</v>
      </c>
      <c r="T430" s="2792"/>
      <c r="V430" s="2796">
        <f>SUM(V426:V429)</f>
        <v>0</v>
      </c>
      <c r="W430" s="2797"/>
      <c r="X430" s="2797"/>
      <c r="AC430" s="2848" t="s">
        <v>3926</v>
      </c>
      <c r="AD430" s="2848" t="s">
        <v>3927</v>
      </c>
      <c r="AE430" s="2848" t="s">
        <v>3930</v>
      </c>
      <c r="AF430" s="2849" t="s">
        <v>3928</v>
      </c>
      <c r="AG430" s="2848" t="s">
        <v>3919</v>
      </c>
      <c r="AH430" s="2848" t="s">
        <v>6747</v>
      </c>
      <c r="AI430" s="2848"/>
      <c r="AZ430" s="2751"/>
      <c r="BA430" s="2682">
        <v>120</v>
      </c>
    </row>
    <row r="431" spans="1:53" s="2681" customFormat="1" ht="13.35" customHeight="1">
      <c r="B431" s="2681" t="s">
        <v>269</v>
      </c>
      <c r="D431" s="2780" t="s">
        <v>3929</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3917</v>
      </c>
      <c r="Z431" s="2833"/>
      <c r="AA431" s="2822" t="s">
        <v>3923</v>
      </c>
      <c r="AB431" s="2822" t="s">
        <v>3924</v>
      </c>
      <c r="AC431" s="2848"/>
      <c r="AD431" s="2848"/>
      <c r="AE431" s="2848"/>
      <c r="AF431" s="2849"/>
      <c r="AG431" s="2848"/>
      <c r="AH431" s="2848"/>
      <c r="AI431" s="2848"/>
      <c r="AK431" s="2851"/>
      <c r="AZ431" s="2751" t="s">
        <v>6394</v>
      </c>
      <c r="BA431" s="2697">
        <v>121</v>
      </c>
    </row>
    <row r="432" spans="1:53" s="2681" customFormat="1" ht="12.6" customHeight="1">
      <c r="B432" s="2681" t="s">
        <v>1724</v>
      </c>
      <c r="F432" s="2773">
        <f>IF($G$127=0,0,G432/$G$127)</f>
        <v>0</v>
      </c>
      <c r="G432" s="2762">
        <f>'Part III-A-Uses of Funds'!G122</f>
        <v>249000</v>
      </c>
      <c r="H432" s="2762"/>
      <c r="J432" s="2762">
        <f>'Part III-A-Uses of Funds'!J122</f>
        <v>249000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6" customHeight="1">
      <c r="B433" s="2681" t="s">
        <v>3413</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6" customHeight="1">
      <c r="B436" s="2681" t="s">
        <v>1717</v>
      </c>
      <c r="F436" s="2773">
        <f>IF($G$127=0,0,G436/$G$127)</f>
        <v>0</v>
      </c>
      <c r="G436" s="2762">
        <f>'Part III-A-Uses of Funds'!G126</f>
        <v>996000</v>
      </c>
      <c r="H436" s="2762"/>
      <c r="J436" s="2762">
        <f>'Part III-A-Uses of Funds'!J126</f>
        <v>996000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3925</v>
      </c>
      <c r="E437" s="2859" t="str">
        <f>IF(E431="9%",AH432,IF(E431="4%",AH435,"Select App Type!"))</f>
        <v>Select App Type!</v>
      </c>
      <c r="F437" s="2800" t="s">
        <v>184</v>
      </c>
      <c r="G437" s="2792">
        <f>SUM(G432:G436)</f>
        <v>1245000</v>
      </c>
      <c r="H437" s="2792"/>
      <c r="J437" s="2792">
        <f>SUM(J432:J436)</f>
        <v>1245000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6395</v>
      </c>
      <c r="BA438" s="2682">
        <v>128</v>
      </c>
    </row>
    <row r="439" spans="1:53" s="2681" customFormat="1" ht="12.6"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6396</v>
      </c>
      <c r="BA439" s="2682">
        <v>129</v>
      </c>
    </row>
    <row r="440" spans="1:53" s="2681" customFormat="1" ht="12.6" customHeight="1">
      <c r="B440" s="2681" t="s">
        <v>1437</v>
      </c>
      <c r="F440" s="2803">
        <f>+'Part V-Revenues &amp; Expenses'!$Q$228*('DCA Underwriting Assumptions'!$Q$87/12)</f>
        <v>54187.25</v>
      </c>
      <c r="G440" s="2762">
        <f>'Part III-A-Uses of Funds'!G130</f>
        <v>54188</v>
      </c>
      <c r="H440" s="2762"/>
      <c r="J440" s="2861" t="str">
        <f>IF(E440&gt;G440,"WARNING! Rent-Up Reserves proposed is below minimum - add comment.","")</f>
        <v/>
      </c>
      <c r="K440" s="2861"/>
      <c r="L440" s="2795"/>
      <c r="M440" s="2792"/>
      <c r="N440" s="2792"/>
      <c r="P440" s="2792"/>
      <c r="Q440" s="2792"/>
      <c r="S440" s="2762">
        <f>'Part III-A-Uses of Funds'!S130</f>
        <v>54188</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128284.64274002836</v>
      </c>
      <c r="G441" s="2762">
        <f>'Part III-A-Uses of Funds'!G131</f>
        <v>128285</v>
      </c>
      <c r="H441" s="2762"/>
      <c r="J441" s="2861" t="str">
        <f>IF(E441&gt;G441,"WARNING! ODR proposed is below minimum - add comment.","")</f>
        <v/>
      </c>
      <c r="K441" s="2836"/>
      <c r="L441" s="2836"/>
      <c r="M441" s="2836"/>
      <c r="N441" s="2836"/>
      <c r="P441" s="2836"/>
      <c r="Q441" s="2836"/>
      <c r="S441" s="2762">
        <f>'Part III-A-Uses of Funds'!S131</f>
        <v>128285</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6397</v>
      </c>
      <c r="BA442" s="2682">
        <v>132</v>
      </c>
    </row>
    <row r="443" spans="1:53" s="2681" customFormat="1" ht="12.6" customHeight="1">
      <c r="B443" s="2681" t="s">
        <v>1172</v>
      </c>
      <c r="E443" s="2802" t="s">
        <v>3140</v>
      </c>
      <c r="F443" s="2803">
        <f>IF('Part V-Revenues &amp; Expenses'!$P$67=0,0,G443/'Part V-Revenues &amp; Expenses'!$P$67)</f>
        <v>1195.6521739130435</v>
      </c>
      <c r="G443" s="2762">
        <f>'Part III-A-Uses of Funds'!G133</f>
        <v>55000</v>
      </c>
      <c r="H443" s="2762"/>
      <c r="J443" s="2762">
        <f>'Part III-A-Uses of Funds'!J133</f>
        <v>55000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6398</v>
      </c>
      <c r="BA443" s="2682">
        <v>133</v>
      </c>
    </row>
    <row r="444" spans="1:53" s="2681" customFormat="1" ht="12.6" customHeight="1">
      <c r="A444" s="2798" t="str">
        <f>IF(AND(G444&gt;0,OR(C444="",C444="&lt;Enter detailed description here; use Comments section if needed&gt;")),"X","")</f>
        <v/>
      </c>
      <c r="B444" s="2692" t="s">
        <v>6281</v>
      </c>
      <c r="C444" s="2698" t="str">
        <f>'Part III-A-Uses of Funds'!C134</f>
        <v>Community Improvement Fund</v>
      </c>
      <c r="D444" s="2799"/>
      <c r="E444" s="2799"/>
      <c r="F444" s="2799"/>
      <c r="G444" s="2762">
        <f>'Part III-A-Uses of Funds'!G134</f>
        <v>20000</v>
      </c>
      <c r="H444" s="2762"/>
      <c r="J444" s="2762">
        <f>'Part III-A-Uses of Funds'!J134</f>
        <v>0</v>
      </c>
      <c r="K444" s="2762"/>
      <c r="L444" s="2795"/>
      <c r="M444" s="2762">
        <f>'Part III-A-Uses of Funds'!M134</f>
        <v>0</v>
      </c>
      <c r="N444" s="2762"/>
      <c r="P444" s="2762">
        <f>'Part III-A-Uses of Funds'!P134</f>
        <v>0</v>
      </c>
      <c r="Q444" s="2762"/>
      <c r="S444" s="2762">
        <f>'Part III-A-Uses of Funds'!S134</f>
        <v>20000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282473</v>
      </c>
      <c r="H445" s="2792"/>
      <c r="J445" s="2792">
        <f>SUM(J443:J444)</f>
        <v>55000</v>
      </c>
      <c r="K445" s="2792"/>
      <c r="L445" s="2795"/>
      <c r="M445" s="2792">
        <f>SUM(M443:M444)</f>
        <v>0</v>
      </c>
      <c r="N445" s="2792"/>
      <c r="P445" s="2792">
        <f>SUM(P443:P444)</f>
        <v>0</v>
      </c>
      <c r="Q445" s="2792"/>
      <c r="S445" s="2792">
        <f>SUM(S439:S444)</f>
        <v>227473</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6281</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13171427</v>
      </c>
      <c r="H456" s="2792"/>
      <c r="J456" s="2792">
        <f>J328+J334+J338+J346+J351+J356+J365+J383+J396+J402+J413+J424+J430+J437+J445+J454</f>
        <v>12135973</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1035454</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6756</v>
      </c>
      <c r="C458" s="2814"/>
      <c r="D458" s="2868">
        <f>IF('Part V-Revenues &amp; Expenses'!$P$67=0,0,G456/'Part V-Revenues &amp; Expenses'!$P$67)</f>
        <v>286335.36956521741</v>
      </c>
      <c r="E458" s="2868"/>
      <c r="F458" s="2862" t="s">
        <v>2489</v>
      </c>
      <c r="G458" s="2868">
        <f>IF('Part V-Revenues &amp; Expenses'!$K$175=0,0,G456/'Part V-Revenues &amp; Expenses'!$K$175)</f>
        <v>274.47334750354253</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12135973</v>
      </c>
      <c r="K472" s="2769"/>
      <c r="M472" s="2769">
        <f>M456</f>
        <v>0</v>
      </c>
      <c r="N472" s="2769"/>
      <c r="P472" s="2769">
        <f>P456</f>
        <v>0</v>
      </c>
      <c r="Q472" s="2769"/>
      <c r="R472" s="2872" t="s">
        <v>3775</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12135973</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15776764.9</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15776764.9</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1419908.841</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1419908</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13171427</v>
      </c>
      <c r="K486" s="2769"/>
      <c r="L486" s="2769"/>
      <c r="N486" s="2872" t="s">
        <v>6721</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525110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12646317</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1264631.7</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6757</v>
      </c>
      <c r="J492" s="2881">
        <f>N492+Q492</f>
        <v>1.22</v>
      </c>
      <c r="K492" s="2881"/>
      <c r="L492" s="2881"/>
      <c r="M492" s="2682" t="s">
        <v>1213</v>
      </c>
      <c r="N492" s="2882">
        <f>'Part III-A-Uses of Funds'!N182</f>
        <v>0.85</v>
      </c>
      <c r="O492" s="2882"/>
      <c r="P492" s="2682" t="s">
        <v>570</v>
      </c>
      <c r="Q492" s="2882">
        <f>'Part III-A-Uses of Funds'!Q182</f>
        <v>0.37</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1036583</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3937</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6835</v>
      </c>
      <c r="J497" s="2772">
        <f>'Part III-A-Uses of Funds'!J187</f>
        <v>1035000</v>
      </c>
      <c r="K497" s="2772"/>
      <c r="L497" s="2772"/>
      <c r="Q497" s="2692" t="s">
        <v>6253</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6758</v>
      </c>
      <c r="J499" s="2772">
        <f>'Part III-A-Uses of Funds'!J189</f>
        <v>1035000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6836</v>
      </c>
      <c r="D501" s="2693"/>
      <c r="E501" s="2693"/>
      <c r="F501" s="2694"/>
      <c r="J501" s="2769">
        <f>IF(J499="",0,+MIN(J497,J499))</f>
        <v>1035000</v>
      </c>
      <c r="K501" s="2769"/>
      <c r="L501" s="2769"/>
      <c r="M501" s="2745"/>
      <c r="N501" s="2745"/>
      <c r="O501" s="2745"/>
      <c r="P501" s="2745"/>
      <c r="Q501" s="2833" t="s">
        <v>3929</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Please see Tab 02 for local government fee budget documentation. The proposed costs are considered to be reasonable.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cost per square foot budgets. Both total net residential square footage and estimated total gross square footage were considered in this analysis.</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Magnolia Villas  -  Tifton  -  Tift,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6759</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Community Improvement Fund</v>
      </c>
      <c r="B578" s="2895"/>
      <c r="C578" s="2895"/>
      <c r="D578" s="2895"/>
      <c r="F578" s="2896" t="str">
        <f>'Part III-B-Other Items'!F71</f>
        <v xml:space="preserve">Community Improvement Fund: The Developer will commit $20,000, funded out of the developer fee, to fund a reserve to support the provision of community services and resources to the residents of Magnolia Villas. The expenditures within the Community Improvement Fund will be documented for compliance purposes and will be spent within 5 years of Magnolia Vllas being placed in-service. Through community engagement and and local partnershipis VOASE plans to identify the greatest need in the community, pair that with their loacl partnerships and resources as well as the Tift County Carpenter/King/Whiddon Mill Road Corridor Redevelopment Plan to determine the highest and best impact these funds can make for the residents of this corridor in order to encourage growth improve housing availability and support community spirit and pride. 
</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20000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Magnolia Villas,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South</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GA South</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4</v>
      </c>
      <c r="K603" s="2912">
        <f>'Part IV-Utility Allowances'!K12</f>
        <v>5</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7</v>
      </c>
      <c r="K604" s="2912">
        <f>'Part IV-Utility Allowances'!K13</f>
        <v>9</v>
      </c>
      <c r="L604" s="2912">
        <f>'Part IV-Utility Allowances'!L13</f>
        <v>0</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18</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10</v>
      </c>
      <c r="K606" s="2912">
        <f>'Part IV-Utility Allowances'!K15</f>
        <v>13</v>
      </c>
      <c r="L606" s="2912">
        <f>'Part IV-Utility Allowances'!L15</f>
        <v>0</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21</v>
      </c>
      <c r="K609" s="2912">
        <f>'Part IV-Utility Allowances'!K18</f>
        <v>27</v>
      </c>
      <c r="L609" s="2912">
        <f>'Part IV-Utility Allowances'!L18</f>
        <v>0</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0</v>
      </c>
      <c r="J610" s="2912">
        <f>'Part IV-Utility Allowances'!J19</f>
        <v>41</v>
      </c>
      <c r="K610" s="2912">
        <f>'Part IV-Utility Allowances'!K19</f>
        <v>52</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97</v>
      </c>
      <c r="K613" s="2910">
        <f>IF(SUM(K603:K612)=0,0,IF(OR($D603="&lt;&lt;Select Fuel &gt;&gt;",$D604="&lt;&lt;Select Fuel &gt;&gt;",$D605="&lt;&lt;Select Fuel &gt;&gt;"),"Select Fuel",IF($E610="&lt;Select&gt;","Submeter?",SUM(K603:K612))))</f>
        <v>124</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Applicant has used the Georgia South Low-Rise Apartment utility allowances effective January 1, 2022. Documentation can be found in Tab 2 of the full application.</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Magnolia Villas, ,  County</v>
      </c>
      <c r="T640" s="2550" t="str">
        <f>A640</f>
        <v>PART FOUR - PROJECTED REVENUES &amp; EXPENSES  -  2022-0 Magnolia Villas,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6096</v>
      </c>
      <c r="E642" s="2749"/>
      <c r="F642" s="2749"/>
      <c r="G642" s="2749"/>
      <c r="H642" s="2749"/>
      <c r="I642" s="2749"/>
      <c r="J642" s="2749"/>
      <c r="O642" s="2915" t="s">
        <v>534</v>
      </c>
      <c r="P642" s="2916" t="str">
        <f>'Part I-Project Identification'!$O$32</f>
        <v>Tift Co.</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3683</v>
      </c>
      <c r="Y643" s="2918" t="s">
        <v>3684</v>
      </c>
      <c r="Z643" s="2918" t="s">
        <v>3685</v>
      </c>
      <c r="AA643" s="2918" t="s">
        <v>3686</v>
      </c>
      <c r="AB643" s="2918" t="s">
        <v>3687</v>
      </c>
      <c r="AC643" s="2918" t="s">
        <v>3688</v>
      </c>
      <c r="AD643" s="2918" t="s">
        <v>3689</v>
      </c>
      <c r="AE643" s="2918" t="s">
        <v>3690</v>
      </c>
      <c r="AF643" s="2918" t="s">
        <v>3691</v>
      </c>
      <c r="AG643" s="2918" t="s">
        <v>3692</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3694</v>
      </c>
      <c r="AS643" s="2918" t="s">
        <v>3695</v>
      </c>
      <c r="AT643" s="2918" t="s">
        <v>3696</v>
      </c>
      <c r="AU643" s="2918" t="s">
        <v>3697</v>
      </c>
      <c r="AV643" s="2918" t="s">
        <v>3693</v>
      </c>
      <c r="AW643" s="2918" t="s">
        <v>863</v>
      </c>
      <c r="AX643" s="2918" t="s">
        <v>2136</v>
      </c>
      <c r="AY643" s="2918" t="s">
        <v>2137</v>
      </c>
      <c r="AZ643" s="2918" t="s">
        <v>2138</v>
      </c>
      <c r="BA643" s="2918" t="s">
        <v>2139</v>
      </c>
      <c r="BB643" s="2918" t="s">
        <v>3698</v>
      </c>
      <c r="BC643" s="2918" t="s">
        <v>3699</v>
      </c>
      <c r="BD643" s="2918" t="s">
        <v>3700</v>
      </c>
      <c r="BE643" s="2918" t="s">
        <v>3701</v>
      </c>
      <c r="BF643" s="2918" t="s">
        <v>3702</v>
      </c>
      <c r="BG643" s="2918" t="s">
        <v>123</v>
      </c>
      <c r="BH643" s="2918" t="s">
        <v>2140</v>
      </c>
      <c r="BI643" s="2918" t="s">
        <v>2141</v>
      </c>
      <c r="BJ643" s="2918" t="s">
        <v>2142</v>
      </c>
      <c r="BK643" s="2918" t="s">
        <v>1081</v>
      </c>
      <c r="BL643" s="2918" t="s">
        <v>3703</v>
      </c>
      <c r="BM643" s="2918" t="s">
        <v>3704</v>
      </c>
      <c r="BN643" s="2918" t="s">
        <v>3705</v>
      </c>
      <c r="BO643" s="2918" t="s">
        <v>3706</v>
      </c>
      <c r="BP643" s="2918" t="s">
        <v>3707</v>
      </c>
      <c r="BQ643" s="2918" t="s">
        <v>517</v>
      </c>
      <c r="BR643" s="2918" t="s">
        <v>518</v>
      </c>
      <c r="BS643" s="2918" t="s">
        <v>535</v>
      </c>
      <c r="BT643" s="2918" t="s">
        <v>536</v>
      </c>
      <c r="BU643" s="2918" t="s">
        <v>537</v>
      </c>
      <c r="BV643" s="2918" t="s">
        <v>3708</v>
      </c>
      <c r="BW643" s="2918" t="s">
        <v>3709</v>
      </c>
      <c r="BX643" s="2918" t="s">
        <v>3710</v>
      </c>
      <c r="BY643" s="2918" t="s">
        <v>3711</v>
      </c>
      <c r="BZ643" s="2918" t="s">
        <v>3712</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3718</v>
      </c>
      <c r="CL643" s="2918" t="s">
        <v>3719</v>
      </c>
      <c r="CM643" s="2918" t="s">
        <v>3720</v>
      </c>
      <c r="CN643" s="2918" t="s">
        <v>3721</v>
      </c>
      <c r="CO643" s="2918" t="s">
        <v>3722</v>
      </c>
      <c r="CP643" s="2918" t="s">
        <v>3713</v>
      </c>
      <c r="CQ643" s="2918" t="s">
        <v>3714</v>
      </c>
      <c r="CR643" s="2918" t="s">
        <v>3715</v>
      </c>
      <c r="CS643" s="2918" t="s">
        <v>3716</v>
      </c>
      <c r="CT643" s="2918" t="s">
        <v>3717</v>
      </c>
      <c r="CU643" s="2918" t="s">
        <v>3723</v>
      </c>
      <c r="CV643" s="2918" t="s">
        <v>3724</v>
      </c>
      <c r="CW643" s="2918" t="s">
        <v>3725</v>
      </c>
      <c r="CX643" s="2918" t="s">
        <v>3726</v>
      </c>
      <c r="CY643" s="2918" t="s">
        <v>3727</v>
      </c>
      <c r="CZ643" s="2918" t="s">
        <v>466</v>
      </c>
      <c r="DA643" s="2918" t="s">
        <v>467</v>
      </c>
      <c r="DB643" s="2918" t="s">
        <v>468</v>
      </c>
      <c r="DC643" s="2918" t="s">
        <v>469</v>
      </c>
      <c r="DD643" s="2918" t="s">
        <v>470</v>
      </c>
      <c r="DE643" s="2918" t="s">
        <v>3728</v>
      </c>
      <c r="DF643" s="2918" t="s">
        <v>3729</v>
      </c>
      <c r="DG643" s="2918" t="s">
        <v>3730</v>
      </c>
      <c r="DH643" s="2918" t="s">
        <v>3731</v>
      </c>
      <c r="DI643" s="2918" t="s">
        <v>3732</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3733</v>
      </c>
      <c r="DU643" s="2918" t="s">
        <v>3734</v>
      </c>
      <c r="DV643" s="2918" t="s">
        <v>3735</v>
      </c>
      <c r="DW643" s="2918" t="s">
        <v>3736</v>
      </c>
      <c r="DX643" s="2918" t="s">
        <v>3737</v>
      </c>
      <c r="DY643" s="2918" t="s">
        <v>3738</v>
      </c>
      <c r="DZ643" s="2918" t="s">
        <v>3739</v>
      </c>
      <c r="EA643" s="2918" t="s">
        <v>3740</v>
      </c>
      <c r="EB643" s="2918" t="s">
        <v>3741</v>
      </c>
      <c r="EC643" s="2918" t="s">
        <v>3742</v>
      </c>
      <c r="ED643" s="2918" t="s">
        <v>2236</v>
      </c>
      <c r="EE643" s="2918" t="s">
        <v>2237</v>
      </c>
      <c r="EF643" s="2918" t="s">
        <v>2238</v>
      </c>
      <c r="EG643" s="2918" t="s">
        <v>2239</v>
      </c>
      <c r="EH643" s="2918" t="s">
        <v>2240</v>
      </c>
      <c r="EI643" s="2918" t="s">
        <v>3743</v>
      </c>
      <c r="EJ643" s="2918" t="s">
        <v>3744</v>
      </c>
      <c r="EK643" s="2918" t="s">
        <v>3745</v>
      </c>
      <c r="EL643" s="2918" t="s">
        <v>3746</v>
      </c>
      <c r="EM643" s="2918" t="s">
        <v>3747</v>
      </c>
      <c r="EN643" s="2918" t="s">
        <v>3748</v>
      </c>
      <c r="EO643" s="2918" t="s">
        <v>3749</v>
      </c>
      <c r="EP643" s="2918" t="s">
        <v>3750</v>
      </c>
      <c r="EQ643" s="2918" t="s">
        <v>3751</v>
      </c>
      <c r="ER643" s="2918" t="s">
        <v>3752</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3753</v>
      </c>
      <c r="FD643" s="2918" t="s">
        <v>3754</v>
      </c>
      <c r="FE643" s="2918" t="s">
        <v>3755</v>
      </c>
      <c r="FF643" s="2918" t="s">
        <v>3756</v>
      </c>
      <c r="FG643" s="2918" t="s">
        <v>3757</v>
      </c>
      <c r="FH643" s="2918" t="s">
        <v>125</v>
      </c>
      <c r="FI643" s="2918" t="s">
        <v>853</v>
      </c>
      <c r="FJ643" s="2918" t="s">
        <v>854</v>
      </c>
      <c r="FK643" s="2918" t="s">
        <v>855</v>
      </c>
      <c r="FL643" s="2918" t="s">
        <v>856</v>
      </c>
      <c r="FM643" s="2918" t="s">
        <v>3758</v>
      </c>
      <c r="FN643" s="2918" t="s">
        <v>3759</v>
      </c>
      <c r="FO643" s="2918" t="s">
        <v>3760</v>
      </c>
      <c r="FP643" s="2918" t="s">
        <v>3761</v>
      </c>
      <c r="FQ643" s="2918" t="s">
        <v>3762</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6839</v>
      </c>
      <c r="D644" s="2749"/>
      <c r="E644" s="2749"/>
      <c r="F644" s="2749"/>
      <c r="G644" s="2912" t="str">
        <f>'Part V-Revenues &amp; Expenses'!G6</f>
        <v>&lt;Select&gt;</v>
      </c>
      <c r="H644" s="2921" t="s">
        <v>6099</v>
      </c>
      <c r="I644" s="2921"/>
      <c r="J644" s="2921"/>
      <c r="K644" s="2917" t="s">
        <v>3138</v>
      </c>
      <c r="L644" s="2922" t="str">
        <f>'Part I-Project Identification'!$A$6</f>
        <v>May 12 2022 Core Application</v>
      </c>
      <c r="M644" s="2922"/>
      <c r="N644" s="2922"/>
      <c r="O644" s="2923" t="s">
        <v>6764</v>
      </c>
      <c r="P644" s="2924">
        <f>'Part V-Revenues &amp; Expenses'!P6</f>
        <v>63400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6286</v>
      </c>
      <c r="MQ644" s="2918" t="s">
        <v>6287</v>
      </c>
      <c r="MR644" s="2918" t="s">
        <v>6288</v>
      </c>
      <c r="MS644" s="2918" t="s">
        <v>6289</v>
      </c>
      <c r="MT644" s="2918" t="s">
        <v>6290</v>
      </c>
      <c r="NP644" s="2914"/>
    </row>
    <row r="645" spans="1:380" s="2550" customFormat="1" ht="12.6" customHeight="1">
      <c r="A645" s="2920"/>
      <c r="B645" s="2926" t="s">
        <v>6098</v>
      </c>
      <c r="G645" s="2912" t="str">
        <f>'Part V-Revenues &amp; Expenses'!G7</f>
        <v>No</v>
      </c>
      <c r="I645" s="2925" t="s">
        <v>4074</v>
      </c>
      <c r="J645" s="2917" t="s">
        <v>742</v>
      </c>
      <c r="K645" s="2917" t="s">
        <v>3185</v>
      </c>
      <c r="L645" s="2922"/>
      <c r="M645" s="2922"/>
      <c r="N645" s="2922"/>
      <c r="O645" s="2927" t="s">
        <v>6078</v>
      </c>
      <c r="P645" s="2928">
        <f>'Part V-Revenues &amp; Expenses'!P7</f>
        <v>44562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3765</v>
      </c>
      <c r="I646" s="2925"/>
      <c r="J646" s="2917" t="s">
        <v>743</v>
      </c>
      <c r="K646" s="2917" t="s">
        <v>3186</v>
      </c>
      <c r="L646" s="2688"/>
      <c r="M646" s="2688"/>
      <c r="N646" s="2930" t="s">
        <v>6484</v>
      </c>
      <c r="O646" s="2931" t="str">
        <f>'Part V-Revenues &amp; Expenses'!O8</f>
        <v>Novogradac &amp; Company - National non-metro</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3766</v>
      </c>
      <c r="C647" s="2917" t="s">
        <v>165</v>
      </c>
      <c r="D647" s="2917" t="s">
        <v>510</v>
      </c>
      <c r="E647" s="2917" t="s">
        <v>1383</v>
      </c>
      <c r="F647" s="2917" t="s">
        <v>1383</v>
      </c>
      <c r="G647" s="2925" t="s">
        <v>6094</v>
      </c>
      <c r="H647" s="2919" t="s">
        <v>3303</v>
      </c>
      <c r="I647" s="2925"/>
      <c r="J647" s="2933" t="s">
        <v>6088</v>
      </c>
      <c r="K647" s="2917" t="s">
        <v>6840</v>
      </c>
      <c r="L647" s="2135" t="s">
        <v>139</v>
      </c>
      <c r="M647" s="2135"/>
      <c r="N647" s="2917" t="s">
        <v>2185</v>
      </c>
      <c r="O647" s="2917" t="s">
        <v>6487</v>
      </c>
      <c r="P647" s="2918" t="s">
        <v>6841</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6291</v>
      </c>
      <c r="IZ647" s="2918" t="s">
        <v>6291</v>
      </c>
      <c r="JA647" s="2918" t="s">
        <v>6291</v>
      </c>
      <c r="JB647" s="2918" t="s">
        <v>6291</v>
      </c>
      <c r="JC647" s="2918" t="s">
        <v>6291</v>
      </c>
      <c r="JD647" s="2918" t="s">
        <v>6292</v>
      </c>
      <c r="JE647" s="2918" t="s">
        <v>6292</v>
      </c>
      <c r="JF647" s="2918" t="s">
        <v>6292</v>
      </c>
      <c r="JG647" s="2918" t="s">
        <v>6292</v>
      </c>
      <c r="JH647" s="2918" t="s">
        <v>6292</v>
      </c>
      <c r="JI647" s="2918" t="s">
        <v>6294</v>
      </c>
      <c r="JJ647" s="2918" t="s">
        <v>6294</v>
      </c>
      <c r="JK647" s="2918" t="s">
        <v>6294</v>
      </c>
      <c r="JL647" s="2918" t="s">
        <v>6294</v>
      </c>
      <c r="JM647" s="2918" t="s">
        <v>6294</v>
      </c>
      <c r="JN647" s="2918" t="s">
        <v>6295</v>
      </c>
      <c r="JO647" s="2918" t="s">
        <v>6295</v>
      </c>
      <c r="JP647" s="2918" t="s">
        <v>6295</v>
      </c>
      <c r="JQ647" s="2918" t="s">
        <v>6295</v>
      </c>
      <c r="JR647" s="2918" t="s">
        <v>6295</v>
      </c>
      <c r="JS647" s="2918" t="s">
        <v>6296</v>
      </c>
      <c r="JT647" s="2918" t="s">
        <v>6296</v>
      </c>
      <c r="JU647" s="2918" t="s">
        <v>6296</v>
      </c>
      <c r="JV647" s="2918" t="s">
        <v>6296</v>
      </c>
      <c r="JW647" s="2918" t="s">
        <v>6296</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6298</v>
      </c>
      <c r="KN647" s="2918" t="s">
        <v>6298</v>
      </c>
      <c r="KO647" s="2918" t="s">
        <v>6298</v>
      </c>
      <c r="KP647" s="2918" t="s">
        <v>6298</v>
      </c>
      <c r="KQ647" s="2918" t="s">
        <v>6298</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3935</v>
      </c>
      <c r="C648" s="2917" t="s">
        <v>164</v>
      </c>
      <c r="D648" s="2917" t="s">
        <v>166</v>
      </c>
      <c r="E648" s="2917" t="s">
        <v>1384</v>
      </c>
      <c r="F648" s="2917" t="s">
        <v>1204</v>
      </c>
      <c r="G648" s="2925"/>
      <c r="H648" s="2917" t="s">
        <v>6095</v>
      </c>
      <c r="I648" s="2925"/>
      <c r="J648" s="2933"/>
      <c r="K648" s="2936" t="s">
        <v>334</v>
      </c>
      <c r="L648" s="2917" t="s">
        <v>1433</v>
      </c>
      <c r="M648" s="2917" t="s">
        <v>504</v>
      </c>
      <c r="N648" s="2917" t="s">
        <v>1383</v>
      </c>
      <c r="O648" s="2917" t="s">
        <v>6501</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4" si="1">MAX(0,H649-I649-J649)</f>
        <v>0</v>
      </c>
      <c r="M649" s="2943">
        <f t="shared" ref="M649:M654"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6411</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6412</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si="1"/>
        <v>0</v>
      </c>
      <c r="M651" s="2943">
        <f t="shared" si="2"/>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6413</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1"/>
        <v>0</v>
      </c>
      <c r="M652" s="2943">
        <f t="shared" si="2"/>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6414</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1"/>
        <v>0</v>
      </c>
      <c r="M653" s="2943">
        <f t="shared" si="2"/>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6415</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1"/>
        <v>0</v>
      </c>
      <c r="M654" s="2943">
        <f t="shared" si="2"/>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6416</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38">MAX(0,H655-I655-J655)</f>
        <v>0</v>
      </c>
      <c r="M655" s="2943">
        <f t="shared" ref="M655:M662" si="339">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6417</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4</v>
      </c>
      <c r="F656" s="2941">
        <f>'Part V-Revenues &amp; Expenses'!F18</f>
        <v>780</v>
      </c>
      <c r="G656" s="2941">
        <f>'Part V-Revenues &amp; Expenses'!G18</f>
        <v>594</v>
      </c>
      <c r="H656" s="2941">
        <f>'Part V-Revenues &amp; Expenses'!H18</f>
        <v>562</v>
      </c>
      <c r="I656" s="2941">
        <f>'Part V-Revenues &amp; Expenses'!I18</f>
        <v>0</v>
      </c>
      <c r="J656" s="2941">
        <f>'Part V-Revenues &amp; Expenses'!J18</f>
        <v>97</v>
      </c>
      <c r="K656" s="2942">
        <f>'Part V-Revenues &amp; Expenses'!K18</f>
        <v>0</v>
      </c>
      <c r="L656" s="2943">
        <f t="shared" si="338"/>
        <v>465</v>
      </c>
      <c r="M656" s="2943">
        <f t="shared" si="339"/>
        <v>1860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4</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3120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4</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4</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4</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4</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6418</v>
      </c>
    </row>
    <row r="657" spans="1:380" s="652" customFormat="1" ht="13.9" customHeight="1">
      <c r="A657" s="2910" t="str">
        <f t="shared" si="0"/>
        <v/>
      </c>
      <c r="B657" s="2949">
        <f>'Part V-Revenues &amp; Expenses'!B19</f>
        <v>60</v>
      </c>
      <c r="C657" s="2939">
        <f>'Part V-Revenues &amp; Expenses'!C19</f>
        <v>1</v>
      </c>
      <c r="D657" s="2940">
        <f>'Part V-Revenues &amp; Expenses'!D19</f>
        <v>1</v>
      </c>
      <c r="E657" s="2941">
        <f>'Part V-Revenues &amp; Expenses'!E19</f>
        <v>7</v>
      </c>
      <c r="F657" s="2941">
        <f>'Part V-Revenues &amp; Expenses'!F19</f>
        <v>780</v>
      </c>
      <c r="G657" s="2941">
        <f>'Part V-Revenues &amp; Expenses'!G19</f>
        <v>713</v>
      </c>
      <c r="H657" s="2941">
        <f>'Part V-Revenues &amp; Expenses'!H19</f>
        <v>597</v>
      </c>
      <c r="I657" s="2941">
        <f>'Part V-Revenues &amp; Expenses'!I19</f>
        <v>0</v>
      </c>
      <c r="J657" s="2941">
        <f>'Part V-Revenues &amp; Expenses'!J19</f>
        <v>97</v>
      </c>
      <c r="K657" s="2942">
        <f>'Part V-Revenues &amp; Expenses'!K19</f>
        <v>0</v>
      </c>
      <c r="L657" s="2943">
        <f t="shared" si="338"/>
        <v>500</v>
      </c>
      <c r="M657" s="2943">
        <f t="shared" si="339"/>
        <v>3500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7</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5460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7</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7</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7</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7</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6419</v>
      </c>
    </row>
    <row r="658" spans="1:380" s="652" customFormat="1" ht="13.9" customHeight="1">
      <c r="A658" s="2910" t="str">
        <f t="shared" si="0"/>
        <v/>
      </c>
      <c r="B658" s="2949">
        <f>'Part V-Revenues &amp; Expenses'!B20</f>
        <v>70</v>
      </c>
      <c r="C658" s="2939">
        <f>'Part V-Revenues &amp; Expenses'!C20</f>
        <v>1</v>
      </c>
      <c r="D658" s="2940">
        <f>'Part V-Revenues &amp; Expenses'!D20</f>
        <v>1</v>
      </c>
      <c r="E658" s="2941">
        <f>'Part V-Revenues &amp; Expenses'!E20</f>
        <v>1</v>
      </c>
      <c r="F658" s="2941">
        <f>'Part V-Revenues &amp; Expenses'!F20</f>
        <v>780</v>
      </c>
      <c r="G658" s="2941">
        <f>'Part V-Revenues &amp; Expenses'!G20</f>
        <v>832</v>
      </c>
      <c r="H658" s="2941">
        <f>'Part V-Revenues &amp; Expenses'!H20</f>
        <v>692</v>
      </c>
      <c r="I658" s="2941">
        <f>'Part V-Revenues &amp; Expenses'!I20</f>
        <v>0</v>
      </c>
      <c r="J658" s="2941">
        <f>'Part V-Revenues &amp; Expenses'!J20</f>
        <v>97</v>
      </c>
      <c r="K658" s="2942">
        <f>'Part V-Revenues &amp; Expenses'!K20</f>
        <v>0</v>
      </c>
      <c r="L658" s="2943">
        <f t="shared" si="338"/>
        <v>595</v>
      </c>
      <c r="M658" s="2943">
        <f t="shared" si="339"/>
        <v>595</v>
      </c>
      <c r="N658" s="2775" t="str">
        <f>'Part V-Revenues &amp; Expenses'!N20</f>
        <v>No</v>
      </c>
      <c r="O658" s="2944" t="str">
        <f>'Part V-Revenues &amp; Expenses'!O20</f>
        <v>Low-Rise Elevator</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f t="shared" si="9"/>
        <v>1</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f t="shared" si="69"/>
        <v>1</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f t="shared" si="124"/>
        <v>780</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1</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f t="shared" si="214"/>
        <v>1</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f t="shared" si="264"/>
        <v>1</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1</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6420</v>
      </c>
    </row>
    <row r="659" spans="1:380" s="652" customFormat="1" ht="13.9" customHeight="1">
      <c r="A659" s="2910" t="str">
        <f t="shared" si="0"/>
        <v/>
      </c>
      <c r="B659" s="2949">
        <f>'Part V-Revenues &amp; Expenses'!B21</f>
        <v>50</v>
      </c>
      <c r="C659" s="2939">
        <f>'Part V-Revenues &amp; Expenses'!C21</f>
        <v>2</v>
      </c>
      <c r="D659" s="2940">
        <f>'Part V-Revenues &amp; Expenses'!D21</f>
        <v>1</v>
      </c>
      <c r="E659" s="2941">
        <f>'Part V-Revenues &amp; Expenses'!E21</f>
        <v>11</v>
      </c>
      <c r="F659" s="2941">
        <f>'Part V-Revenues &amp; Expenses'!F21</f>
        <v>1038</v>
      </c>
      <c r="G659" s="2941">
        <f>'Part V-Revenues &amp; Expenses'!G21</f>
        <v>713</v>
      </c>
      <c r="H659" s="2941">
        <f>'Part V-Revenues &amp; Expenses'!H21</f>
        <v>684</v>
      </c>
      <c r="I659" s="2941">
        <f>'Part V-Revenues &amp; Expenses'!I21</f>
        <v>0</v>
      </c>
      <c r="J659" s="2941">
        <f>'Part V-Revenues &amp; Expenses'!J21</f>
        <v>124</v>
      </c>
      <c r="K659" s="2942">
        <f>'Part V-Revenues &amp; Expenses'!K21</f>
        <v>0</v>
      </c>
      <c r="L659" s="2943">
        <f t="shared" si="338"/>
        <v>560</v>
      </c>
      <c r="M659" s="2943">
        <f t="shared" si="339"/>
        <v>6160</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11</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11418</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11</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11</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11</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11</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6421</v>
      </c>
    </row>
    <row r="660" spans="1:380" s="652" customFormat="1" ht="13.9" customHeight="1">
      <c r="A660" s="2910" t="str">
        <f t="shared" si="0"/>
        <v/>
      </c>
      <c r="B660" s="2949">
        <f>'Part V-Revenues &amp; Expenses'!B22</f>
        <v>60</v>
      </c>
      <c r="C660" s="2939">
        <f>'Part V-Revenues &amp; Expenses'!C22</f>
        <v>2</v>
      </c>
      <c r="D660" s="2940">
        <f>'Part V-Revenues &amp; Expenses'!D22</f>
        <v>1</v>
      </c>
      <c r="E660" s="2941">
        <f>'Part V-Revenues &amp; Expenses'!E22</f>
        <v>19</v>
      </c>
      <c r="F660" s="2941">
        <f>'Part V-Revenues &amp; Expenses'!F22</f>
        <v>1038</v>
      </c>
      <c r="G660" s="2941">
        <f>'Part V-Revenues &amp; Expenses'!G22</f>
        <v>856</v>
      </c>
      <c r="H660" s="2941">
        <f>'Part V-Revenues &amp; Expenses'!H22</f>
        <v>724</v>
      </c>
      <c r="I660" s="2941">
        <f>'Part V-Revenues &amp; Expenses'!I22</f>
        <v>0</v>
      </c>
      <c r="J660" s="2941">
        <f>'Part V-Revenues &amp; Expenses'!J22</f>
        <v>124</v>
      </c>
      <c r="K660" s="2942">
        <f>'Part V-Revenues &amp; Expenses'!K22</f>
        <v>0</v>
      </c>
      <c r="L660" s="2943">
        <f t="shared" si="338"/>
        <v>600</v>
      </c>
      <c r="M660" s="2943">
        <f t="shared" si="339"/>
        <v>11400</v>
      </c>
      <c r="N660" s="2775" t="str">
        <f>'Part V-Revenues &amp; Expenses'!N22</f>
        <v>No</v>
      </c>
      <c r="O660" s="2944" t="str">
        <f>'Part V-Revenues &amp; Expenses'!O22</f>
        <v>Low-Rise Elevator</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19</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19722</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19</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19</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f t="shared" si="265"/>
        <v>19</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19</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6422</v>
      </c>
    </row>
    <row r="661" spans="1:380" s="652" customFormat="1" ht="13.9" customHeight="1">
      <c r="A661" s="2910" t="str">
        <f t="shared" si="0"/>
        <v/>
      </c>
      <c r="B661" s="2949">
        <f>'Part V-Revenues &amp; Expenses'!B23</f>
        <v>70</v>
      </c>
      <c r="C661" s="2939">
        <f>'Part V-Revenues &amp; Expenses'!C23</f>
        <v>2</v>
      </c>
      <c r="D661" s="2940">
        <f>'Part V-Revenues &amp; Expenses'!D23</f>
        <v>1</v>
      </c>
      <c r="E661" s="2941">
        <f>'Part V-Revenues &amp; Expenses'!E23</f>
        <v>4</v>
      </c>
      <c r="F661" s="2941">
        <f>'Part V-Revenues &amp; Expenses'!F23</f>
        <v>1038</v>
      </c>
      <c r="G661" s="2941">
        <f>'Part V-Revenues &amp; Expenses'!G23</f>
        <v>999</v>
      </c>
      <c r="H661" s="2941">
        <f>'Part V-Revenues &amp; Expenses'!H23</f>
        <v>819</v>
      </c>
      <c r="I661" s="2941">
        <f>'Part V-Revenues &amp; Expenses'!I23</f>
        <v>0</v>
      </c>
      <c r="J661" s="2941">
        <f>'Part V-Revenues &amp; Expenses'!J23</f>
        <v>124</v>
      </c>
      <c r="K661" s="2942">
        <f>'Part V-Revenues &amp; Expenses'!K23</f>
        <v>0</v>
      </c>
      <c r="L661" s="2943">
        <f t="shared" si="338"/>
        <v>695</v>
      </c>
      <c r="M661" s="2943">
        <f t="shared" si="339"/>
        <v>2780</v>
      </c>
      <c r="N661" s="2775" t="str">
        <f>'Part V-Revenues &amp; Expenses'!N23</f>
        <v>No</v>
      </c>
      <c r="O661" s="2944" t="str">
        <f>'Part V-Revenues &amp; Expenses'!O23</f>
        <v>Low-Rise Elevator</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f t="shared" si="10"/>
        <v>4</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f t="shared" si="70"/>
        <v>4</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f t="shared" si="125"/>
        <v>4152</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4</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f t="shared" si="215"/>
        <v>4</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f t="shared" si="265"/>
        <v>4</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4</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6423</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38"/>
        <v>0</v>
      </c>
      <c r="M662" s="2943">
        <f t="shared" si="339"/>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6424</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0">MAX(0,H663-I663-J663)</f>
        <v>0</v>
      </c>
      <c r="M663" s="2943">
        <f t="shared" ref="M663:M686" si="341">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6425</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0"/>
        <v>0</v>
      </c>
      <c r="M664" s="2943">
        <f t="shared" si="341"/>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6426</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0"/>
        <v>0</v>
      </c>
      <c r="M665" s="2943">
        <f t="shared" si="341"/>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6427</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0"/>
        <v>0</v>
      </c>
      <c r="M666" s="2943">
        <f t="shared" si="341"/>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6428</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0"/>
        <v>0</v>
      </c>
      <c r="M667" s="2943">
        <f t="shared" si="341"/>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6429</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0"/>
        <v>0</v>
      </c>
      <c r="M668" s="2943">
        <f t="shared" si="341"/>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6430</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0"/>
        <v>0</v>
      </c>
      <c r="M669" s="2943">
        <f t="shared" si="341"/>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6431</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0"/>
        <v>0</v>
      </c>
      <c r="M670" s="2943">
        <f t="shared" si="341"/>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6432</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0"/>
        <v>0</v>
      </c>
      <c r="M671" s="2943">
        <f t="shared" si="341"/>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6433</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0"/>
        <v>0</v>
      </c>
      <c r="M672" s="2943">
        <f t="shared" si="341"/>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6434</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0"/>
        <v>0</v>
      </c>
      <c r="M673" s="2943">
        <f t="shared" si="341"/>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6435</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0"/>
        <v>0</v>
      </c>
      <c r="M674" s="2943">
        <f t="shared" si="341"/>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6436</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0"/>
        <v>0</v>
      </c>
      <c r="M675" s="2943">
        <f t="shared" si="341"/>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6437</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0"/>
        <v>0</v>
      </c>
      <c r="M676" s="2943">
        <f t="shared" si="341"/>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6438</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0"/>
        <v>0</v>
      </c>
      <c r="M677" s="2943">
        <f t="shared" si="341"/>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6439</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0"/>
        <v>0</v>
      </c>
      <c r="M678" s="2943">
        <f t="shared" si="341"/>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6440</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0"/>
        <v>0</v>
      </c>
      <c r="M679" s="2943">
        <f t="shared" si="341"/>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6441</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0"/>
        <v>0</v>
      </c>
      <c r="M680" s="2943">
        <f t="shared" si="341"/>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6442</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0"/>
        <v>0</v>
      </c>
      <c r="M681" s="2943">
        <f t="shared" si="341"/>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6443</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0"/>
        <v>0</v>
      </c>
      <c r="M682" s="2943">
        <f t="shared" si="341"/>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6444</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0"/>
        <v>0</v>
      </c>
      <c r="M683" s="2943">
        <f t="shared" si="341"/>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6445</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0"/>
        <v>0</v>
      </c>
      <c r="M684" s="2943">
        <f t="shared" si="341"/>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6446</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0"/>
        <v>0</v>
      </c>
      <c r="M685" s="2943">
        <f t="shared" si="341"/>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6447</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0"/>
        <v>0</v>
      </c>
      <c r="M686" s="2943">
        <f t="shared" si="341"/>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6448</v>
      </c>
    </row>
    <row r="687" spans="1:380" s="652" customFormat="1" ht="13.9" customHeight="1">
      <c r="A687" s="2910">
        <f>COUNT(A649,A650,A651,A652,A653,A654,A655,A656,A657,A658,A659,A660,A661,A662,A663,A664,A665,A666,A667,A668,A669,A670,A671,A672,A673,A674,A675,A676,A677,A678)</f>
        <v>0</v>
      </c>
      <c r="B687" s="474" t="s">
        <v>3770</v>
      </c>
      <c r="C687" s="474"/>
      <c r="D687" s="2950" t="s">
        <v>955</v>
      </c>
      <c r="E687" s="2951">
        <f>SUM(E649:E686)</f>
        <v>46</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44652</v>
      </c>
      <c r="H687" s="2953" t="s">
        <v>3767</v>
      </c>
      <c r="I687" s="2954" t="s">
        <v>3768</v>
      </c>
      <c r="J687" s="2955" t="str">
        <f>IF(P705=0,"",IF(SUM(P696:P700)/P705&gt;=0.4,"Pass","Fail"))</f>
        <v>Pass</v>
      </c>
      <c r="K687" s="475"/>
      <c r="L687" s="2950" t="s">
        <v>1226</v>
      </c>
      <c r="M687" s="2956">
        <f>SUM(M649:M686)</f>
        <v>26295</v>
      </c>
      <c r="N687" s="2550"/>
      <c r="O687" s="2550"/>
      <c r="P687" s="2550"/>
      <c r="Q687" s="2550"/>
      <c r="R687" s="2550"/>
      <c r="S687" s="2550"/>
      <c r="T687" s="2550"/>
      <c r="U687" s="2550"/>
      <c r="V687" s="2917"/>
      <c r="W687" s="2948"/>
      <c r="X687" s="2948">
        <f t="shared" ref="X687:FA687" si="342">SUM(X649:X686)</f>
        <v>0</v>
      </c>
      <c r="Y687" s="2948">
        <f t="shared" si="342"/>
        <v>0</v>
      </c>
      <c r="Z687" s="2948">
        <f t="shared" si="342"/>
        <v>0</v>
      </c>
      <c r="AA687" s="2948">
        <f t="shared" si="342"/>
        <v>0</v>
      </c>
      <c r="AB687" s="2948">
        <f t="shared" si="342"/>
        <v>0</v>
      </c>
      <c r="AC687" s="2948">
        <f t="shared" si="342"/>
        <v>0</v>
      </c>
      <c r="AD687" s="2948">
        <f t="shared" si="342"/>
        <v>1</v>
      </c>
      <c r="AE687" s="2948">
        <f t="shared" si="342"/>
        <v>4</v>
      </c>
      <c r="AF687" s="2948">
        <f t="shared" si="342"/>
        <v>0</v>
      </c>
      <c r="AG687" s="2948">
        <f t="shared" si="342"/>
        <v>0</v>
      </c>
      <c r="AH687" s="2948">
        <f t="shared" si="342"/>
        <v>0</v>
      </c>
      <c r="AI687" s="2948">
        <f t="shared" si="342"/>
        <v>7</v>
      </c>
      <c r="AJ687" s="2948">
        <f t="shared" si="342"/>
        <v>19</v>
      </c>
      <c r="AK687" s="2948">
        <f t="shared" si="342"/>
        <v>0</v>
      </c>
      <c r="AL687" s="2948">
        <f t="shared" si="342"/>
        <v>0</v>
      </c>
      <c r="AM687" s="2948">
        <f>SUM(AM649:AM686)</f>
        <v>0</v>
      </c>
      <c r="AN687" s="2948">
        <f>SUM(AN649:AN686)</f>
        <v>4</v>
      </c>
      <c r="AO687" s="2948">
        <f>SUM(AO649:AO686)</f>
        <v>11</v>
      </c>
      <c r="AP687" s="2948">
        <f>SUM(AP649:AP686)</f>
        <v>0</v>
      </c>
      <c r="AQ687" s="2948">
        <f>SUM(AQ649:AQ686)</f>
        <v>0</v>
      </c>
      <c r="AR687" s="2948">
        <f t="shared" si="342"/>
        <v>0</v>
      </c>
      <c r="AS687" s="2948">
        <f t="shared" si="342"/>
        <v>0</v>
      </c>
      <c r="AT687" s="2948">
        <f t="shared" si="342"/>
        <v>0</v>
      </c>
      <c r="AU687" s="2948">
        <f t="shared" si="342"/>
        <v>0</v>
      </c>
      <c r="AV687" s="2948">
        <f t="shared" si="342"/>
        <v>0</v>
      </c>
      <c r="AW687" s="2948">
        <f t="shared" si="342"/>
        <v>0</v>
      </c>
      <c r="AX687" s="2948">
        <f t="shared" si="342"/>
        <v>0</v>
      </c>
      <c r="AY687" s="2948">
        <f t="shared" si="342"/>
        <v>0</v>
      </c>
      <c r="AZ687" s="2948">
        <f t="shared" si="342"/>
        <v>0</v>
      </c>
      <c r="BA687" s="2948">
        <f t="shared" si="342"/>
        <v>0</v>
      </c>
      <c r="BB687" s="2948">
        <f>SUM(BB649:BB686)</f>
        <v>0</v>
      </c>
      <c r="BC687" s="2948">
        <f>SUM(BC649:BC686)</f>
        <v>0</v>
      </c>
      <c r="BD687" s="2948">
        <f>SUM(BD649:BD686)</f>
        <v>0</v>
      </c>
      <c r="BE687" s="2948">
        <f>SUM(BE649:BE686)</f>
        <v>0</v>
      </c>
      <c r="BF687" s="2948">
        <f>SUM(BF649:BF686)</f>
        <v>0</v>
      </c>
      <c r="BG687" s="2948">
        <f t="shared" si="342"/>
        <v>0</v>
      </c>
      <c r="BH687" s="2948">
        <f t="shared" si="342"/>
        <v>0</v>
      </c>
      <c r="BI687" s="2948">
        <f t="shared" si="342"/>
        <v>0</v>
      </c>
      <c r="BJ687" s="2948">
        <f t="shared" si="342"/>
        <v>0</v>
      </c>
      <c r="BK687" s="2948">
        <f t="shared" si="342"/>
        <v>0</v>
      </c>
      <c r="BL687" s="2948">
        <f>SUM(BL649:BL686)</f>
        <v>0</v>
      </c>
      <c r="BM687" s="2948">
        <f>SUM(BM649:BM686)</f>
        <v>0</v>
      </c>
      <c r="BN687" s="2948">
        <f>SUM(BN649:BN686)</f>
        <v>0</v>
      </c>
      <c r="BO687" s="2948">
        <f>SUM(BO649:BO686)</f>
        <v>0</v>
      </c>
      <c r="BP687" s="2948">
        <f>SUM(BP649:BP686)</f>
        <v>0</v>
      </c>
      <c r="BQ687" s="2948">
        <f t="shared" si="342"/>
        <v>0</v>
      </c>
      <c r="BR687" s="2948">
        <f t="shared" si="342"/>
        <v>0</v>
      </c>
      <c r="BS687" s="2948">
        <f t="shared" si="342"/>
        <v>0</v>
      </c>
      <c r="BT687" s="2948">
        <f t="shared" si="342"/>
        <v>0</v>
      </c>
      <c r="BU687" s="2948">
        <f t="shared" si="342"/>
        <v>0</v>
      </c>
      <c r="BV687" s="2948">
        <f>SUM(BV649:BV686)</f>
        <v>0</v>
      </c>
      <c r="BW687" s="2948">
        <f>SUM(BW649:BW686)</f>
        <v>0</v>
      </c>
      <c r="BX687" s="2948">
        <f>SUM(BX649:BX686)</f>
        <v>0</v>
      </c>
      <c r="BY687" s="2948">
        <f>SUM(BY649:BY686)</f>
        <v>0</v>
      </c>
      <c r="BZ687" s="2948">
        <f>SUM(BZ649:BZ686)</f>
        <v>0</v>
      </c>
      <c r="CA687" s="2948">
        <f t="shared" si="342"/>
        <v>0</v>
      </c>
      <c r="CB687" s="2948">
        <f t="shared" si="342"/>
        <v>0</v>
      </c>
      <c r="CC687" s="2948">
        <f t="shared" si="342"/>
        <v>0</v>
      </c>
      <c r="CD687" s="2948">
        <f t="shared" si="342"/>
        <v>0</v>
      </c>
      <c r="CE687" s="2948">
        <f t="shared" si="342"/>
        <v>0</v>
      </c>
      <c r="CF687" s="2948">
        <f t="shared" si="342"/>
        <v>0</v>
      </c>
      <c r="CG687" s="2948">
        <f t="shared" si="342"/>
        <v>0</v>
      </c>
      <c r="CH687" s="2948">
        <f t="shared" si="342"/>
        <v>0</v>
      </c>
      <c r="CI687" s="2948">
        <f t="shared" si="342"/>
        <v>0</v>
      </c>
      <c r="CJ687" s="2948">
        <f t="shared" si="342"/>
        <v>0</v>
      </c>
      <c r="CK687" s="2948">
        <f>SUM(CK649:CK686)</f>
        <v>0</v>
      </c>
      <c r="CL687" s="2948">
        <f>SUM(CL649:CL686)</f>
        <v>1</v>
      </c>
      <c r="CM687" s="2948">
        <f>SUM(CM649:CM686)</f>
        <v>4</v>
      </c>
      <c r="CN687" s="2948">
        <f>SUM(CN649:CN686)</f>
        <v>0</v>
      </c>
      <c r="CO687" s="2948">
        <f>SUM(CO649:CO686)</f>
        <v>0</v>
      </c>
      <c r="CP687" s="2948">
        <f t="shared" ref="CP687:CY687" si="343">SUM(CP649:CP686)</f>
        <v>0</v>
      </c>
      <c r="CQ687" s="2948">
        <f t="shared" si="343"/>
        <v>0</v>
      </c>
      <c r="CR687" s="2948">
        <f t="shared" si="343"/>
        <v>0</v>
      </c>
      <c r="CS687" s="2948">
        <f t="shared" si="343"/>
        <v>0</v>
      </c>
      <c r="CT687" s="2948">
        <f t="shared" si="343"/>
        <v>0</v>
      </c>
      <c r="CU687" s="2948">
        <f t="shared" si="343"/>
        <v>0</v>
      </c>
      <c r="CV687" s="2948">
        <f t="shared" si="343"/>
        <v>0</v>
      </c>
      <c r="CW687" s="2948">
        <f t="shared" si="343"/>
        <v>0</v>
      </c>
      <c r="CX687" s="2948">
        <f t="shared" si="343"/>
        <v>0</v>
      </c>
      <c r="CY687" s="2948">
        <f t="shared" si="343"/>
        <v>0</v>
      </c>
      <c r="CZ687" s="2948">
        <f t="shared" si="342"/>
        <v>0</v>
      </c>
      <c r="DA687" s="2948">
        <f t="shared" si="342"/>
        <v>0</v>
      </c>
      <c r="DB687" s="2948">
        <f t="shared" si="342"/>
        <v>0</v>
      </c>
      <c r="DC687" s="2948">
        <f t="shared" si="342"/>
        <v>0</v>
      </c>
      <c r="DD687" s="2948">
        <f t="shared" si="342"/>
        <v>0</v>
      </c>
      <c r="DE687" s="2948">
        <f t="shared" si="342"/>
        <v>0</v>
      </c>
      <c r="DF687" s="2948">
        <f t="shared" si="342"/>
        <v>0</v>
      </c>
      <c r="DG687" s="2948">
        <f t="shared" si="342"/>
        <v>0</v>
      </c>
      <c r="DH687" s="2948">
        <f t="shared" si="342"/>
        <v>0</v>
      </c>
      <c r="DI687" s="2948">
        <f t="shared" si="342"/>
        <v>0</v>
      </c>
      <c r="DJ687" s="2948">
        <f t="shared" si="342"/>
        <v>0</v>
      </c>
      <c r="DK687" s="2948">
        <f t="shared" si="342"/>
        <v>0</v>
      </c>
      <c r="DL687" s="2948">
        <f t="shared" si="342"/>
        <v>0</v>
      </c>
      <c r="DM687" s="2948">
        <f t="shared" si="342"/>
        <v>0</v>
      </c>
      <c r="DN687" s="2948">
        <f t="shared" si="342"/>
        <v>0</v>
      </c>
      <c r="DO687" s="2948">
        <f t="shared" si="342"/>
        <v>0</v>
      </c>
      <c r="DP687" s="2948">
        <f t="shared" si="342"/>
        <v>0</v>
      </c>
      <c r="DQ687" s="2948">
        <f t="shared" si="342"/>
        <v>0</v>
      </c>
      <c r="DR687" s="2948">
        <f t="shared" si="342"/>
        <v>0</v>
      </c>
      <c r="DS687" s="2948">
        <f t="shared" si="342"/>
        <v>0</v>
      </c>
      <c r="DT687" s="2948">
        <f t="shared" si="342"/>
        <v>0</v>
      </c>
      <c r="DU687" s="2948">
        <f t="shared" si="342"/>
        <v>0</v>
      </c>
      <c r="DV687" s="2948">
        <f t="shared" si="342"/>
        <v>0</v>
      </c>
      <c r="DW687" s="2948">
        <f t="shared" si="342"/>
        <v>0</v>
      </c>
      <c r="DX687" s="2948">
        <f t="shared" si="342"/>
        <v>0</v>
      </c>
      <c r="DY687" s="2948">
        <f t="shared" si="342"/>
        <v>0</v>
      </c>
      <c r="DZ687" s="2948">
        <f t="shared" si="342"/>
        <v>0</v>
      </c>
      <c r="EA687" s="2948">
        <f t="shared" si="342"/>
        <v>0</v>
      </c>
      <c r="EB687" s="2948">
        <f t="shared" si="342"/>
        <v>0</v>
      </c>
      <c r="EC687" s="2948">
        <f t="shared" si="342"/>
        <v>0</v>
      </c>
      <c r="ED687" s="2948">
        <f t="shared" si="342"/>
        <v>0</v>
      </c>
      <c r="EE687" s="2948">
        <f t="shared" si="342"/>
        <v>0</v>
      </c>
      <c r="EF687" s="2948">
        <f t="shared" si="342"/>
        <v>0</v>
      </c>
      <c r="EG687" s="2948">
        <f t="shared" si="342"/>
        <v>0</v>
      </c>
      <c r="EH687" s="2948">
        <f t="shared" si="342"/>
        <v>0</v>
      </c>
      <c r="EI687" s="2948">
        <f t="shared" si="342"/>
        <v>0</v>
      </c>
      <c r="EJ687" s="2948">
        <f t="shared" si="342"/>
        <v>0</v>
      </c>
      <c r="EK687" s="2948">
        <f t="shared" si="342"/>
        <v>0</v>
      </c>
      <c r="EL687" s="2948">
        <f t="shared" si="342"/>
        <v>0</v>
      </c>
      <c r="EM687" s="2948">
        <f t="shared" si="342"/>
        <v>0</v>
      </c>
      <c r="EN687" s="2948">
        <f t="shared" si="342"/>
        <v>0</v>
      </c>
      <c r="EO687" s="2948">
        <f t="shared" si="342"/>
        <v>780</v>
      </c>
      <c r="EP687" s="2948">
        <f t="shared" si="342"/>
        <v>4152</v>
      </c>
      <c r="EQ687" s="2948">
        <f t="shared" si="342"/>
        <v>0</v>
      </c>
      <c r="ER687" s="2948">
        <f t="shared" si="342"/>
        <v>0</v>
      </c>
      <c r="ES687" s="2948">
        <f t="shared" si="342"/>
        <v>0</v>
      </c>
      <c r="ET687" s="2948">
        <f t="shared" si="342"/>
        <v>5460</v>
      </c>
      <c r="EU687" s="2948">
        <f t="shared" si="342"/>
        <v>19722</v>
      </c>
      <c r="EV687" s="2948">
        <f t="shared" si="342"/>
        <v>0</v>
      </c>
      <c r="EW687" s="2948">
        <f t="shared" si="342"/>
        <v>0</v>
      </c>
      <c r="EX687" s="2948">
        <f t="shared" si="342"/>
        <v>0</v>
      </c>
      <c r="EY687" s="2948">
        <f t="shared" si="342"/>
        <v>3120</v>
      </c>
      <c r="EZ687" s="2948">
        <f t="shared" si="342"/>
        <v>11418</v>
      </c>
      <c r="FA687" s="2948">
        <f t="shared" si="342"/>
        <v>0</v>
      </c>
      <c r="FB687" s="2948">
        <f t="shared" ref="FB687:HW687" si="344">SUM(FB649:FB686)</f>
        <v>0</v>
      </c>
      <c r="FC687" s="2948">
        <f>SUM(FC649:FC686)</f>
        <v>0</v>
      </c>
      <c r="FD687" s="2948">
        <f>SUM(FD649:FD686)</f>
        <v>0</v>
      </c>
      <c r="FE687" s="2948">
        <f>SUM(FE649:FE686)</f>
        <v>0</v>
      </c>
      <c r="FF687" s="2948">
        <f>SUM(FF649:FF686)</f>
        <v>0</v>
      </c>
      <c r="FG687" s="2948">
        <f>SUM(FG649:FG686)</f>
        <v>0</v>
      </c>
      <c r="FH687" s="2948">
        <f t="shared" si="344"/>
        <v>0</v>
      </c>
      <c r="FI687" s="2948">
        <f t="shared" si="344"/>
        <v>0</v>
      </c>
      <c r="FJ687" s="2948">
        <f t="shared" si="344"/>
        <v>0</v>
      </c>
      <c r="FK687" s="2948">
        <f t="shared" si="344"/>
        <v>0</v>
      </c>
      <c r="FL687" s="2948">
        <f t="shared" si="344"/>
        <v>0</v>
      </c>
      <c r="FM687" s="2948">
        <f>SUM(FM649:FM686)</f>
        <v>0</v>
      </c>
      <c r="FN687" s="2948">
        <f>SUM(FN649:FN686)</f>
        <v>0</v>
      </c>
      <c r="FO687" s="2948">
        <f>SUM(FO649:FO686)</f>
        <v>0</v>
      </c>
      <c r="FP687" s="2948">
        <f>SUM(FP649:FP686)</f>
        <v>0</v>
      </c>
      <c r="FQ687" s="2948">
        <f>SUM(FQ649:FQ686)</f>
        <v>0</v>
      </c>
      <c r="FR687" s="2948">
        <f t="shared" si="344"/>
        <v>0</v>
      </c>
      <c r="FS687" s="2948">
        <f t="shared" si="344"/>
        <v>0</v>
      </c>
      <c r="FT687" s="2948">
        <f t="shared" si="344"/>
        <v>0</v>
      </c>
      <c r="FU687" s="2948">
        <f t="shared" si="344"/>
        <v>0</v>
      </c>
      <c r="FV687" s="2948">
        <f t="shared" si="344"/>
        <v>0</v>
      </c>
      <c r="FW687" s="2948">
        <f t="shared" si="344"/>
        <v>0</v>
      </c>
      <c r="FX687" s="2948">
        <f t="shared" si="344"/>
        <v>0</v>
      </c>
      <c r="FY687" s="2948">
        <f t="shared" si="344"/>
        <v>0</v>
      </c>
      <c r="FZ687" s="2948">
        <f t="shared" si="344"/>
        <v>0</v>
      </c>
      <c r="GA687" s="2948">
        <f t="shared" si="344"/>
        <v>0</v>
      </c>
      <c r="GB687" s="2948">
        <f t="shared" si="344"/>
        <v>0</v>
      </c>
      <c r="GC687" s="2948">
        <f t="shared" si="344"/>
        <v>0</v>
      </c>
      <c r="GD687" s="2948">
        <f t="shared" si="344"/>
        <v>0</v>
      </c>
      <c r="GE687" s="2948">
        <f t="shared" si="344"/>
        <v>0</v>
      </c>
      <c r="GF687" s="2948">
        <f t="shared" si="344"/>
        <v>0</v>
      </c>
      <c r="GG687" s="2948">
        <f t="shared" si="344"/>
        <v>0</v>
      </c>
      <c r="GH687" s="2948">
        <f t="shared" si="344"/>
        <v>12</v>
      </c>
      <c r="GI687" s="2948">
        <f t="shared" si="344"/>
        <v>34</v>
      </c>
      <c r="GJ687" s="2948">
        <f t="shared" si="344"/>
        <v>0</v>
      </c>
      <c r="GK687" s="2948">
        <f t="shared" si="344"/>
        <v>0</v>
      </c>
      <c r="GL687" s="2948">
        <f t="shared" si="344"/>
        <v>0</v>
      </c>
      <c r="GM687" s="2948">
        <f t="shared" si="344"/>
        <v>0</v>
      </c>
      <c r="GN687" s="2948">
        <f t="shared" si="344"/>
        <v>0</v>
      </c>
      <c r="GO687" s="2948">
        <f t="shared" si="344"/>
        <v>0</v>
      </c>
      <c r="GP687" s="2948">
        <f t="shared" si="344"/>
        <v>0</v>
      </c>
      <c r="GQ687" s="2948">
        <f t="shared" si="344"/>
        <v>0</v>
      </c>
      <c r="GR687" s="2948">
        <f t="shared" si="344"/>
        <v>0</v>
      </c>
      <c r="GS687" s="2948">
        <f t="shared" si="344"/>
        <v>0</v>
      </c>
      <c r="GT687" s="2948">
        <f t="shared" si="344"/>
        <v>0</v>
      </c>
      <c r="GU687" s="2948">
        <f t="shared" si="344"/>
        <v>0</v>
      </c>
      <c r="GV687" s="2948">
        <f t="shared" si="344"/>
        <v>0</v>
      </c>
      <c r="GW687" s="2948">
        <f t="shared" si="344"/>
        <v>0</v>
      </c>
      <c r="GX687" s="2948">
        <f t="shared" si="344"/>
        <v>0</v>
      </c>
      <c r="GY687" s="2948">
        <f t="shared" si="344"/>
        <v>0</v>
      </c>
      <c r="GZ687" s="2948">
        <f t="shared" si="344"/>
        <v>0</v>
      </c>
      <c r="HA687" s="2948">
        <f t="shared" si="344"/>
        <v>0</v>
      </c>
      <c r="HB687" s="2948">
        <f t="shared" si="344"/>
        <v>0</v>
      </c>
      <c r="HC687" s="2948">
        <f t="shared" si="344"/>
        <v>0</v>
      </c>
      <c r="HD687" s="2948">
        <f t="shared" si="344"/>
        <v>0</v>
      </c>
      <c r="HE687" s="2948">
        <f t="shared" si="344"/>
        <v>0</v>
      </c>
      <c r="HF687" s="2948">
        <f t="shared" si="344"/>
        <v>0</v>
      </c>
      <c r="HG687" s="2948">
        <f t="shared" si="344"/>
        <v>0</v>
      </c>
      <c r="HH687" s="2948">
        <f t="shared" si="344"/>
        <v>0</v>
      </c>
      <c r="HI687" s="2948">
        <f t="shared" si="344"/>
        <v>0</v>
      </c>
      <c r="HJ687" s="2948">
        <f t="shared" si="344"/>
        <v>0</v>
      </c>
      <c r="HK687" s="2948">
        <f t="shared" si="344"/>
        <v>0</v>
      </c>
      <c r="HL687" s="2948">
        <f t="shared" si="344"/>
        <v>0</v>
      </c>
      <c r="HM687" s="2948">
        <f t="shared" si="344"/>
        <v>0</v>
      </c>
      <c r="HN687" s="2948">
        <f t="shared" si="344"/>
        <v>0</v>
      </c>
      <c r="HO687" s="2948">
        <f t="shared" si="344"/>
        <v>0</v>
      </c>
      <c r="HP687" s="2948">
        <f t="shared" si="344"/>
        <v>0</v>
      </c>
      <c r="HQ687" s="2948">
        <f t="shared" si="344"/>
        <v>0</v>
      </c>
      <c r="HR687" s="2948">
        <f t="shared" si="344"/>
        <v>0</v>
      </c>
      <c r="HS687" s="2948">
        <f t="shared" si="344"/>
        <v>0</v>
      </c>
      <c r="HT687" s="2948">
        <f t="shared" si="344"/>
        <v>0</v>
      </c>
      <c r="HU687" s="2948">
        <f t="shared" si="344"/>
        <v>0</v>
      </c>
      <c r="HV687" s="2948">
        <f t="shared" si="344"/>
        <v>0</v>
      </c>
      <c r="HW687" s="2948">
        <f t="shared" si="344"/>
        <v>0</v>
      </c>
      <c r="HX687" s="2948">
        <f t="shared" ref="HX687:KI687" si="345">SUM(HX649:HX686)</f>
        <v>0</v>
      </c>
      <c r="HY687" s="2948">
        <f t="shared" si="345"/>
        <v>0</v>
      </c>
      <c r="HZ687" s="2948">
        <f t="shared" si="345"/>
        <v>0</v>
      </c>
      <c r="IA687" s="2948">
        <f t="shared" si="345"/>
        <v>12</v>
      </c>
      <c r="IB687" s="2948">
        <f t="shared" si="345"/>
        <v>34</v>
      </c>
      <c r="IC687" s="2948">
        <f t="shared" si="345"/>
        <v>0</v>
      </c>
      <c r="ID687" s="2948">
        <f t="shared" si="345"/>
        <v>0</v>
      </c>
      <c r="IE687" s="2948">
        <f t="shared" si="345"/>
        <v>0</v>
      </c>
      <c r="IF687" s="2948">
        <f t="shared" si="345"/>
        <v>0</v>
      </c>
      <c r="IG687" s="2948">
        <f t="shared" si="345"/>
        <v>0</v>
      </c>
      <c r="IH687" s="2948">
        <f t="shared" si="345"/>
        <v>0</v>
      </c>
      <c r="II687" s="2948">
        <f t="shared" si="345"/>
        <v>0</v>
      </c>
      <c r="IJ687" s="2948">
        <f t="shared" si="345"/>
        <v>0</v>
      </c>
      <c r="IK687" s="2948">
        <f t="shared" si="345"/>
        <v>0</v>
      </c>
      <c r="IL687" s="2948">
        <f t="shared" si="345"/>
        <v>0</v>
      </c>
      <c r="IM687" s="2948">
        <f t="shared" si="345"/>
        <v>0</v>
      </c>
      <c r="IN687" s="2948">
        <f t="shared" si="345"/>
        <v>0</v>
      </c>
      <c r="IO687" s="2948">
        <f t="shared" si="345"/>
        <v>0</v>
      </c>
      <c r="IP687" s="2948">
        <f t="shared" si="345"/>
        <v>0</v>
      </c>
      <c r="IQ687" s="2948">
        <f t="shared" si="345"/>
        <v>0</v>
      </c>
      <c r="IR687" s="2948">
        <f t="shared" si="345"/>
        <v>0</v>
      </c>
      <c r="IS687" s="2948">
        <f t="shared" si="345"/>
        <v>0</v>
      </c>
      <c r="IT687" s="2948">
        <f t="shared" si="345"/>
        <v>0</v>
      </c>
      <c r="IU687" s="2948">
        <f t="shared" si="345"/>
        <v>0</v>
      </c>
      <c r="IV687" s="2948">
        <f t="shared" si="345"/>
        <v>0</v>
      </c>
      <c r="IW687" s="2948">
        <f t="shared" si="345"/>
        <v>0</v>
      </c>
      <c r="IX687" s="2948">
        <f t="shared" si="345"/>
        <v>0</v>
      </c>
      <c r="IY687" s="2948">
        <f t="shared" si="345"/>
        <v>0</v>
      </c>
      <c r="IZ687" s="2948">
        <f t="shared" si="345"/>
        <v>0</v>
      </c>
      <c r="JA687" s="2948">
        <f t="shared" si="345"/>
        <v>0</v>
      </c>
      <c r="JB687" s="2948">
        <f t="shared" si="345"/>
        <v>0</v>
      </c>
      <c r="JC687" s="2948">
        <f t="shared" si="345"/>
        <v>0</v>
      </c>
      <c r="JD687" s="2948">
        <f t="shared" si="345"/>
        <v>0</v>
      </c>
      <c r="JE687" s="2948">
        <f t="shared" si="345"/>
        <v>0</v>
      </c>
      <c r="JF687" s="2948">
        <f t="shared" si="345"/>
        <v>0</v>
      </c>
      <c r="JG687" s="2948">
        <f t="shared" si="345"/>
        <v>0</v>
      </c>
      <c r="JH687" s="2948">
        <f t="shared" si="345"/>
        <v>0</v>
      </c>
      <c r="JI687" s="2948">
        <f t="shared" si="345"/>
        <v>0</v>
      </c>
      <c r="JJ687" s="2948">
        <f t="shared" si="345"/>
        <v>0</v>
      </c>
      <c r="JK687" s="2948">
        <f t="shared" si="345"/>
        <v>0</v>
      </c>
      <c r="JL687" s="2948">
        <f t="shared" si="345"/>
        <v>0</v>
      </c>
      <c r="JM687" s="2948">
        <f t="shared" si="345"/>
        <v>0</v>
      </c>
      <c r="JN687" s="2948">
        <f t="shared" si="345"/>
        <v>0</v>
      </c>
      <c r="JO687" s="2948">
        <f t="shared" si="345"/>
        <v>0</v>
      </c>
      <c r="JP687" s="2948">
        <f t="shared" si="345"/>
        <v>0</v>
      </c>
      <c r="JQ687" s="2948">
        <f t="shared" si="345"/>
        <v>0</v>
      </c>
      <c r="JR687" s="2948">
        <f t="shared" si="345"/>
        <v>0</v>
      </c>
      <c r="JS687" s="2948">
        <f t="shared" si="345"/>
        <v>0</v>
      </c>
      <c r="JT687" s="2948">
        <f t="shared" si="345"/>
        <v>0</v>
      </c>
      <c r="JU687" s="2948">
        <f t="shared" si="345"/>
        <v>0</v>
      </c>
      <c r="JV687" s="2948">
        <f t="shared" si="345"/>
        <v>0</v>
      </c>
      <c r="JW687" s="2948">
        <f t="shared" si="345"/>
        <v>0</v>
      </c>
      <c r="JX687" s="2948">
        <f t="shared" si="345"/>
        <v>0</v>
      </c>
      <c r="JY687" s="2948">
        <f t="shared" si="345"/>
        <v>12</v>
      </c>
      <c r="JZ687" s="2948">
        <f t="shared" si="345"/>
        <v>34</v>
      </c>
      <c r="KA687" s="2948">
        <f t="shared" si="345"/>
        <v>0</v>
      </c>
      <c r="KB687" s="2948">
        <f t="shared" si="345"/>
        <v>0</v>
      </c>
      <c r="KC687" s="2948">
        <f t="shared" si="345"/>
        <v>0</v>
      </c>
      <c r="KD687" s="2948">
        <f t="shared" si="345"/>
        <v>0</v>
      </c>
      <c r="KE687" s="2948">
        <f t="shared" si="345"/>
        <v>0</v>
      </c>
      <c r="KF687" s="2948">
        <f t="shared" si="345"/>
        <v>0</v>
      </c>
      <c r="KG687" s="2948">
        <f t="shared" si="345"/>
        <v>0</v>
      </c>
      <c r="KH687" s="2948">
        <f t="shared" si="345"/>
        <v>0</v>
      </c>
      <c r="KI687" s="2948">
        <f t="shared" si="345"/>
        <v>0</v>
      </c>
      <c r="KJ687" s="2948">
        <f t="shared" ref="KJ687:MU687" si="346">SUM(KJ649:KJ686)</f>
        <v>0</v>
      </c>
      <c r="KK687" s="2948">
        <f t="shared" si="346"/>
        <v>0</v>
      </c>
      <c r="KL687" s="2948">
        <f t="shared" si="346"/>
        <v>0</v>
      </c>
      <c r="KM687" s="2948">
        <f t="shared" si="346"/>
        <v>0</v>
      </c>
      <c r="KN687" s="2948">
        <f t="shared" si="346"/>
        <v>0</v>
      </c>
      <c r="KO687" s="2948">
        <f t="shared" si="346"/>
        <v>0</v>
      </c>
      <c r="KP687" s="2948">
        <f t="shared" si="346"/>
        <v>0</v>
      </c>
      <c r="KQ687" s="2948">
        <f t="shared" si="346"/>
        <v>0</v>
      </c>
      <c r="KR687" s="2948">
        <f t="shared" si="346"/>
        <v>0</v>
      </c>
      <c r="KS687" s="2948">
        <f t="shared" si="346"/>
        <v>0</v>
      </c>
      <c r="KT687" s="2948">
        <f t="shared" si="346"/>
        <v>0</v>
      </c>
      <c r="KU687" s="2948">
        <f t="shared" si="346"/>
        <v>0</v>
      </c>
      <c r="KV687" s="2948">
        <f t="shared" si="346"/>
        <v>0</v>
      </c>
      <c r="KW687" s="2948">
        <f t="shared" si="346"/>
        <v>0</v>
      </c>
      <c r="KX687" s="2948">
        <f t="shared" si="346"/>
        <v>0</v>
      </c>
      <c r="KY687" s="2948">
        <f t="shared" si="346"/>
        <v>0</v>
      </c>
      <c r="KZ687" s="2948">
        <f t="shared" si="346"/>
        <v>0</v>
      </c>
      <c r="LA687" s="2948">
        <f t="shared" si="346"/>
        <v>0</v>
      </c>
      <c r="LB687" s="2948">
        <f t="shared" si="346"/>
        <v>0</v>
      </c>
      <c r="LC687" s="2948">
        <f t="shared" si="346"/>
        <v>0</v>
      </c>
      <c r="LD687" s="2948">
        <f t="shared" si="346"/>
        <v>0</v>
      </c>
      <c r="LE687" s="2948">
        <f t="shared" si="346"/>
        <v>0</v>
      </c>
      <c r="LF687" s="2948">
        <f t="shared" si="346"/>
        <v>0</v>
      </c>
      <c r="LG687" s="2948">
        <f t="shared" si="346"/>
        <v>0</v>
      </c>
      <c r="LH687" s="2948">
        <f t="shared" si="346"/>
        <v>0</v>
      </c>
      <c r="LI687" s="2948">
        <f t="shared" si="346"/>
        <v>0</v>
      </c>
      <c r="LJ687" s="2948">
        <f t="shared" si="346"/>
        <v>0</v>
      </c>
      <c r="LK687" s="2948">
        <f t="shared" si="346"/>
        <v>0</v>
      </c>
      <c r="LL687" s="2948">
        <f t="shared" si="346"/>
        <v>0</v>
      </c>
      <c r="LM687" s="2948">
        <f t="shared" si="346"/>
        <v>0</v>
      </c>
      <c r="LN687" s="2948">
        <f t="shared" si="346"/>
        <v>0</v>
      </c>
      <c r="LO687" s="2948">
        <f t="shared" si="346"/>
        <v>0</v>
      </c>
      <c r="LP687" s="2948">
        <f t="shared" si="346"/>
        <v>0</v>
      </c>
      <c r="LQ687" s="2948">
        <f t="shared" si="346"/>
        <v>0</v>
      </c>
      <c r="LR687" s="2948">
        <f t="shared" si="346"/>
        <v>0</v>
      </c>
      <c r="LS687" s="2948">
        <f t="shared" si="346"/>
        <v>0</v>
      </c>
      <c r="LT687" s="2948">
        <f t="shared" si="346"/>
        <v>0</v>
      </c>
      <c r="LU687" s="2948">
        <f t="shared" si="346"/>
        <v>0</v>
      </c>
      <c r="LV687" s="2948">
        <f t="shared" si="346"/>
        <v>0</v>
      </c>
      <c r="LW687" s="2948">
        <f t="shared" si="346"/>
        <v>0</v>
      </c>
      <c r="LX687" s="2948">
        <f t="shared" si="346"/>
        <v>0</v>
      </c>
      <c r="LY687" s="2948">
        <f t="shared" si="346"/>
        <v>0</v>
      </c>
      <c r="LZ687" s="2948">
        <f t="shared" si="346"/>
        <v>0</v>
      </c>
      <c r="MA687" s="2948">
        <f t="shared" si="346"/>
        <v>0</v>
      </c>
      <c r="MB687" s="2948">
        <f t="shared" si="346"/>
        <v>0</v>
      </c>
      <c r="MC687" s="2948">
        <f t="shared" si="346"/>
        <v>0</v>
      </c>
      <c r="MD687" s="2948">
        <f t="shared" si="346"/>
        <v>0</v>
      </c>
      <c r="ME687" s="2948">
        <f t="shared" si="346"/>
        <v>0</v>
      </c>
      <c r="MF687" s="2948">
        <f t="shared" si="346"/>
        <v>0</v>
      </c>
      <c r="MG687" s="2948">
        <f t="shared" si="346"/>
        <v>0</v>
      </c>
      <c r="MH687" s="2948">
        <f t="shared" si="346"/>
        <v>0</v>
      </c>
      <c r="MI687" s="2948">
        <f t="shared" si="346"/>
        <v>0</v>
      </c>
      <c r="MJ687" s="2948">
        <f t="shared" si="346"/>
        <v>0</v>
      </c>
      <c r="MK687" s="2948">
        <f t="shared" si="346"/>
        <v>0</v>
      </c>
      <c r="ML687" s="2948">
        <f t="shared" si="346"/>
        <v>12</v>
      </c>
      <c r="MM687" s="2948">
        <f t="shared" si="346"/>
        <v>34</v>
      </c>
      <c r="MN687" s="2948">
        <f t="shared" si="346"/>
        <v>0</v>
      </c>
      <c r="MO687" s="2948">
        <f t="shared" si="346"/>
        <v>0</v>
      </c>
      <c r="MP687" s="2948">
        <f t="shared" si="346"/>
        <v>0</v>
      </c>
      <c r="MQ687" s="2948">
        <f t="shared" si="346"/>
        <v>0</v>
      </c>
      <c r="MR687" s="2948">
        <f t="shared" si="346"/>
        <v>0</v>
      </c>
      <c r="MS687" s="2948">
        <f t="shared" si="346"/>
        <v>0</v>
      </c>
      <c r="MT687" s="2948">
        <f t="shared" si="346"/>
        <v>0</v>
      </c>
      <c r="MU687" s="2948">
        <f t="shared" si="346"/>
        <v>0</v>
      </c>
      <c r="NP687" s="2751" t="s">
        <v>6449</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57.826086956521742</v>
      </c>
      <c r="C688" s="2957"/>
      <c r="D688" s="2910" t="s">
        <v>3677</v>
      </c>
      <c r="E688" s="2951">
        <f>SUM(E656:E686)</f>
        <v>46</v>
      </c>
      <c r="F688" s="2952">
        <f>(E656*F656+E657*F657+E658*F658+E659*F659+E660*F660+E661*F661+E662*F662+E663*F663+E664*F664+E665*F665+E666*F666+E667*F667+E668*F668+E669*F669+E670*F670+E671*F671+E672*F672+E673*F673+E674*F674+E675*F675+E676*F676+E677*F677+E678*F678+E679*F679+E680*F680+E681*F681+E682*F682+E683*F683+E684*F684+E685*F685+E686*F686)</f>
        <v>44652</v>
      </c>
      <c r="H688" s="2953"/>
      <c r="I688" s="2954" t="s">
        <v>3769</v>
      </c>
      <c r="J688" s="2955" t="str">
        <f>IF(P705=0,"",IF(SUM(P697:P700)/P705&gt;=0.2,"Pass","Fail"))</f>
        <v>Pass</v>
      </c>
      <c r="K688" s="475"/>
      <c r="L688" s="2950" t="s">
        <v>757</v>
      </c>
      <c r="M688" s="2956">
        <f>M687*12</f>
        <v>315540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6450</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6649</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6498</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4079</v>
      </c>
      <c r="B694" s="2529"/>
      <c r="C694" s="2550" t="s">
        <v>1070</v>
      </c>
      <c r="D694" s="2550"/>
      <c r="E694" s="2550"/>
      <c r="F694" s="2550"/>
      <c r="H694" s="2135" t="s">
        <v>3678</v>
      </c>
      <c r="I694" s="474"/>
      <c r="K694" s="2962">
        <f>X687</f>
        <v>0</v>
      </c>
      <c r="L694" s="2962">
        <f>Y687</f>
        <v>0</v>
      </c>
      <c r="M694" s="2962">
        <f>Z687</f>
        <v>0</v>
      </c>
      <c r="N694" s="2962">
        <f>AA687</f>
        <v>0</v>
      </c>
      <c r="O694" s="2962">
        <f>AB687</f>
        <v>0</v>
      </c>
      <c r="P694" s="2962">
        <f t="shared" ref="P694:P705" si="347">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3679</v>
      </c>
      <c r="I695" s="474"/>
      <c r="K695" s="2962">
        <f>AC687</f>
        <v>0</v>
      </c>
      <c r="L695" s="2962">
        <f>AD687</f>
        <v>1</v>
      </c>
      <c r="M695" s="2962">
        <f>AE687</f>
        <v>4</v>
      </c>
      <c r="N695" s="2962">
        <f>AF687</f>
        <v>0</v>
      </c>
      <c r="O695" s="2962">
        <f>AG687</f>
        <v>0</v>
      </c>
      <c r="P695" s="2962">
        <f t="shared" si="347"/>
        <v>5</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7</v>
      </c>
      <c r="M696" s="2962">
        <f>AJ687</f>
        <v>19</v>
      </c>
      <c r="N696" s="2962">
        <f>AK687</f>
        <v>0</v>
      </c>
      <c r="O696" s="2962">
        <f>AL687</f>
        <v>0</v>
      </c>
      <c r="P696" s="2962">
        <f t="shared" si="347"/>
        <v>26</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4</v>
      </c>
      <c r="M697" s="2962">
        <f>AO687</f>
        <v>11</v>
      </c>
      <c r="N697" s="2962">
        <f>AP687</f>
        <v>0</v>
      </c>
      <c r="O697" s="2962">
        <f>AQ687</f>
        <v>0</v>
      </c>
      <c r="P697" s="2962">
        <f t="shared" si="347"/>
        <v>15</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3680</v>
      </c>
      <c r="I698" s="474"/>
      <c r="K698" s="2962">
        <f>AR687</f>
        <v>0</v>
      </c>
      <c r="L698" s="2962">
        <f>AS687</f>
        <v>0</v>
      </c>
      <c r="M698" s="2962">
        <f>AT687</f>
        <v>0</v>
      </c>
      <c r="N698" s="2962">
        <f>AU687</f>
        <v>0</v>
      </c>
      <c r="O698" s="2962">
        <f>AV687</f>
        <v>0</v>
      </c>
      <c r="P698" s="2962">
        <f t="shared" si="347"/>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3681</v>
      </c>
      <c r="I699" s="474"/>
      <c r="K699" s="2962">
        <f>AW687</f>
        <v>0</v>
      </c>
      <c r="L699" s="2962">
        <f>AX687</f>
        <v>0</v>
      </c>
      <c r="M699" s="2962">
        <f>AY687</f>
        <v>0</v>
      </c>
      <c r="N699" s="2962">
        <f>AZ687</f>
        <v>0</v>
      </c>
      <c r="O699" s="2962">
        <f>BA687</f>
        <v>0</v>
      </c>
      <c r="P699" s="2962">
        <f t="shared" si="347"/>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3682</v>
      </c>
      <c r="I700" s="474"/>
      <c r="K700" s="2962">
        <f>BB687</f>
        <v>0</v>
      </c>
      <c r="L700" s="2962">
        <f>BC687</f>
        <v>0</v>
      </c>
      <c r="M700" s="2962">
        <f>BD687</f>
        <v>0</v>
      </c>
      <c r="N700" s="2962">
        <f>BE687</f>
        <v>0</v>
      </c>
      <c r="O700" s="2962">
        <f>BF687</f>
        <v>0</v>
      </c>
      <c r="P700" s="2962">
        <f t="shared" si="347"/>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3764</v>
      </c>
      <c r="D701" s="2550"/>
      <c r="E701" s="2550"/>
      <c r="F701" s="2550"/>
      <c r="H701" s="2530"/>
      <c r="I701" s="1024"/>
      <c r="K701" s="2962">
        <f>SUM(K694:K700)</f>
        <v>0</v>
      </c>
      <c r="L701" s="2962">
        <f>SUM(L694:L700)</f>
        <v>12</v>
      </c>
      <c r="M701" s="2962">
        <f>SUM(M694:M700)</f>
        <v>34</v>
      </c>
      <c r="N701" s="2962">
        <f>SUM(N694:N700)</f>
        <v>0</v>
      </c>
      <c r="O701" s="2962">
        <f>SUM(O694:O700)</f>
        <v>0</v>
      </c>
      <c r="P701" s="2962">
        <f t="shared" si="347"/>
        <v>46</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7"/>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12</v>
      </c>
      <c r="M703" s="2968">
        <f>SUM(M701:M702)</f>
        <v>34</v>
      </c>
      <c r="N703" s="2968">
        <f>SUM(N701:N702)</f>
        <v>0</v>
      </c>
      <c r="O703" s="2968">
        <f>SUM(O701:O702)</f>
        <v>0</v>
      </c>
      <c r="P703" s="2968">
        <f t="shared" si="347"/>
        <v>46</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7"/>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12</v>
      </c>
      <c r="M705" s="2962">
        <f>SUM(M703:M704)</f>
        <v>34</v>
      </c>
      <c r="N705" s="2962">
        <f>SUM(N703:N704)</f>
        <v>0</v>
      </c>
      <c r="O705" s="2962">
        <f>SUM(O703:O704)</f>
        <v>0</v>
      </c>
      <c r="P705" s="2962">
        <f t="shared" si="347"/>
        <v>46</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3773</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3678</v>
      </c>
      <c r="I708" s="2971"/>
      <c r="J708" s="2972"/>
      <c r="K708" s="2973" t="str">
        <f t="shared" ref="K708:P708" si="348">IF(OR(K694=0,K705=0),"",K694/K705)</f>
        <v/>
      </c>
      <c r="L708" s="2973" t="str">
        <f t="shared" si="348"/>
        <v/>
      </c>
      <c r="M708" s="2973" t="str">
        <f t="shared" si="348"/>
        <v/>
      </c>
      <c r="N708" s="2973" t="str">
        <f t="shared" si="348"/>
        <v/>
      </c>
      <c r="O708" s="2973" t="str">
        <f t="shared" si="348"/>
        <v/>
      </c>
      <c r="P708" s="2973" t="str">
        <f t="shared" si="348"/>
        <v/>
      </c>
      <c r="Q708" s="2923" t="s">
        <v>4073</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49">IF(OR(K709="",K694=0),"", K694-K709)</f>
        <v/>
      </c>
      <c r="L710" s="2975" t="str">
        <f t="shared" si="349"/>
        <v/>
      </c>
      <c r="M710" s="2975" t="str">
        <f t="shared" si="349"/>
        <v/>
      </c>
      <c r="N710" s="2975" t="str">
        <f t="shared" si="349"/>
        <v/>
      </c>
      <c r="O710" s="2975" t="str">
        <f t="shared" si="349"/>
        <v/>
      </c>
      <c r="P710" s="2975" t="str">
        <f t="shared" si="349"/>
        <v/>
      </c>
      <c r="S710" s="2846"/>
      <c r="T710" s="2846"/>
      <c r="U710" s="2846"/>
      <c r="V710" s="2846"/>
      <c r="W710" s="2846"/>
    </row>
    <row r="711" spans="1:380" ht="12.75" customHeight="1">
      <c r="A711" s="2529"/>
      <c r="B711" s="2529"/>
      <c r="C711" s="2974"/>
      <c r="D711" s="2974" t="s">
        <v>6845</v>
      </c>
      <c r="E711" s="2974"/>
      <c r="F711" s="2974"/>
      <c r="G711" s="652"/>
      <c r="H711" s="2970" t="s">
        <v>3679</v>
      </c>
      <c r="I711" s="2971"/>
      <c r="J711" s="2550"/>
      <c r="K711" s="2973" t="str">
        <f t="shared" ref="K711:P711" si="350">IF(OR(K695=0,K705=0),"",K695/K705)</f>
        <v/>
      </c>
      <c r="L711" s="2973">
        <f t="shared" si="350"/>
        <v>8.3333333333333329E-2</v>
      </c>
      <c r="M711" s="2973">
        <f t="shared" si="350"/>
        <v>0.11764705882352941</v>
      </c>
      <c r="N711" s="2973" t="str">
        <f t="shared" si="350"/>
        <v/>
      </c>
      <c r="O711" s="2973" t="str">
        <f t="shared" si="350"/>
        <v/>
      </c>
      <c r="P711" s="2973">
        <f t="shared" si="350"/>
        <v>0.10869565217391304</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f>IF(OR(L695=0,P711="",L705=0),"",P711*L705)</f>
        <v>1.3043478260869565</v>
      </c>
      <c r="M712" s="2975">
        <f>IF(OR(M695=0,P711="",M705=0),"",P711*M705)</f>
        <v>3.6956521739130435</v>
      </c>
      <c r="N712" s="2975" t="str">
        <f>IF(OR(N695=0,P711="",N705=0),"",P711*N705)</f>
        <v/>
      </c>
      <c r="O712" s="2975" t="str">
        <f>IF(OR(O695=0,P711="",O705=0),"",P711*O705)</f>
        <v/>
      </c>
      <c r="P712" s="2975">
        <f>IF(OR(P711="",P705=0),"",P711*P705)</f>
        <v>5</v>
      </c>
      <c r="S712" s="2846"/>
      <c r="T712" s="2846"/>
      <c r="U712" s="2846"/>
      <c r="V712" s="2846"/>
      <c r="W712" s="2846"/>
    </row>
    <row r="713" spans="1:380">
      <c r="C713" s="2974"/>
      <c r="D713" s="2974"/>
      <c r="E713" s="2974"/>
      <c r="F713" s="2974"/>
      <c r="G713" s="2976"/>
      <c r="H713" s="2970" t="s">
        <v>6844</v>
      </c>
      <c r="I713" s="2971"/>
      <c r="J713" s="2550"/>
      <c r="K713" s="2975" t="str">
        <f t="shared" ref="K713:P713" si="351">IF(OR(K712="",K695=0),"", K695-K712)</f>
        <v/>
      </c>
      <c r="L713" s="2975">
        <f t="shared" si="351"/>
        <v>-0.30434782608695654</v>
      </c>
      <c r="M713" s="2975">
        <f t="shared" si="351"/>
        <v>0.30434782608695654</v>
      </c>
      <c r="N713" s="2975" t="str">
        <f t="shared" si="351"/>
        <v/>
      </c>
      <c r="O713" s="2975" t="str">
        <f t="shared" si="351"/>
        <v/>
      </c>
      <c r="P713" s="2975">
        <f t="shared" si="351"/>
        <v>0</v>
      </c>
      <c r="S713" s="2846"/>
      <c r="T713" s="2846"/>
      <c r="U713" s="2846"/>
      <c r="V713" s="2846"/>
      <c r="W713" s="2846"/>
    </row>
    <row r="714" spans="1:380">
      <c r="C714" s="2977" t="s">
        <v>4071</v>
      </c>
      <c r="D714" s="2974"/>
      <c r="E714" s="2974"/>
      <c r="F714" s="2974"/>
      <c r="G714" s="652"/>
      <c r="H714" s="2970" t="s">
        <v>1082</v>
      </c>
      <c r="I714" s="2971"/>
      <c r="J714" s="2550"/>
      <c r="K714" s="2973" t="str">
        <f t="shared" ref="K714:P714" si="352">IF(OR(K696=0,K705=0),"",K696/K705)</f>
        <v/>
      </c>
      <c r="L714" s="2973">
        <f t="shared" si="352"/>
        <v>0.58333333333333337</v>
      </c>
      <c r="M714" s="2973">
        <f t="shared" si="352"/>
        <v>0.55882352941176472</v>
      </c>
      <c r="N714" s="2973" t="str">
        <f t="shared" si="352"/>
        <v/>
      </c>
      <c r="O714" s="2973" t="str">
        <f t="shared" si="352"/>
        <v/>
      </c>
      <c r="P714" s="2973">
        <f t="shared" si="352"/>
        <v>0.56521739130434778</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6.7826086956521738</v>
      </c>
      <c r="M715" s="2975">
        <f>IF(OR(M696=0,P714="",M705=0),"",P714*M705)</f>
        <v>19.217391304347824</v>
      </c>
      <c r="N715" s="2975" t="str">
        <f>IF(OR(N696=0,P714="",N705=0),"",P714*N705)</f>
        <v/>
      </c>
      <c r="O715" s="2975" t="str">
        <f>IF(OR(O696=0,P714="",O705=0),"",P714*O705)</f>
        <v/>
      </c>
      <c r="P715" s="2975">
        <f>IF(OR(P714="",P705=0),"",P714*P705)</f>
        <v>25.999999999999996</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3">IF(OR(K715="",K696=0),"", K696-K715)</f>
        <v/>
      </c>
      <c r="L716" s="2975">
        <f t="shared" si="353"/>
        <v>0.21739130434782616</v>
      </c>
      <c r="M716" s="2975">
        <f t="shared" si="353"/>
        <v>-0.21739130434782439</v>
      </c>
      <c r="N716" s="2975" t="str">
        <f t="shared" si="353"/>
        <v/>
      </c>
      <c r="O716" s="2975" t="str">
        <f t="shared" si="353"/>
        <v/>
      </c>
      <c r="P716" s="2975">
        <f t="shared" si="353"/>
        <v>3.5527136788005009E-15</v>
      </c>
    </row>
    <row r="717" spans="1:380">
      <c r="C717" s="2977" t="s">
        <v>4071</v>
      </c>
      <c r="D717" s="2977"/>
      <c r="E717" s="2977"/>
      <c r="F717" s="652"/>
      <c r="G717" s="652"/>
      <c r="H717" s="2970" t="s">
        <v>112</v>
      </c>
      <c r="I717" s="2971"/>
      <c r="J717" s="2550"/>
      <c r="K717" s="2973" t="str">
        <f t="shared" ref="K717:P717" si="354">IF(OR(K697=0,K705=0),"",K697/K705)</f>
        <v/>
      </c>
      <c r="L717" s="2973">
        <f t="shared" si="354"/>
        <v>0.33333333333333331</v>
      </c>
      <c r="M717" s="2973">
        <f t="shared" si="354"/>
        <v>0.3235294117647059</v>
      </c>
      <c r="N717" s="2973" t="str">
        <f t="shared" si="354"/>
        <v/>
      </c>
      <c r="O717" s="2973" t="str">
        <f t="shared" si="354"/>
        <v/>
      </c>
      <c r="P717" s="2973">
        <f t="shared" si="354"/>
        <v>0.32608695652173914</v>
      </c>
    </row>
    <row r="718" spans="1:380">
      <c r="C718" s="2977"/>
      <c r="D718" s="2977"/>
      <c r="E718" s="2977"/>
      <c r="F718" s="652"/>
      <c r="G718" s="652"/>
      <c r="H718" s="2970" t="s">
        <v>6843</v>
      </c>
      <c r="I718" s="2971"/>
      <c r="J718" s="2550"/>
      <c r="K718" s="2975" t="str">
        <f>IF(OR(K697=0,P717="",K705=0),"",P717*K705)</f>
        <v/>
      </c>
      <c r="L718" s="2975">
        <f>IF(OR(L697=0,P717="",L705=0),"",P717*L705)</f>
        <v>3.9130434782608696</v>
      </c>
      <c r="M718" s="2975">
        <f>IF(OR(M697=0,P717="",M705=0),"",P717*M705)</f>
        <v>11.086956521739131</v>
      </c>
      <c r="N718" s="2975" t="str">
        <f>IF(OR(N697=0,P717="",N705=0),"",P717*N705)</f>
        <v/>
      </c>
      <c r="O718" s="2975" t="str">
        <f>IF(OR(O697=0,P717="",O705=0),"",P717*O705)</f>
        <v/>
      </c>
      <c r="P718" s="2975">
        <f>IF(OR(P717="",P705=0),"",P717*P705)</f>
        <v>15</v>
      </c>
    </row>
    <row r="719" spans="1:380">
      <c r="C719" s="2977"/>
      <c r="D719" s="2977"/>
      <c r="E719" s="2977"/>
      <c r="F719" s="652"/>
      <c r="G719" s="2976"/>
      <c r="H719" s="2970" t="s">
        <v>6844</v>
      </c>
      <c r="I719" s="2971"/>
      <c r="J719" s="2550"/>
      <c r="K719" s="2975" t="str">
        <f t="shared" ref="K719:P719" si="355">IF(OR(K718="",K697=0),"", K697-K718)</f>
        <v/>
      </c>
      <c r="L719" s="2975">
        <f t="shared" si="355"/>
        <v>8.6956521739130377E-2</v>
      </c>
      <c r="M719" s="2975">
        <f t="shared" si="355"/>
        <v>-8.6956521739130821E-2</v>
      </c>
      <c r="N719" s="2975" t="str">
        <f t="shared" si="355"/>
        <v/>
      </c>
      <c r="O719" s="2975" t="str">
        <f t="shared" si="355"/>
        <v/>
      </c>
      <c r="P719" s="2975">
        <f t="shared" si="355"/>
        <v>0</v>
      </c>
    </row>
    <row r="720" spans="1:380">
      <c r="C720" s="2977" t="s">
        <v>4071</v>
      </c>
      <c r="D720" s="2977"/>
      <c r="E720" s="2977"/>
      <c r="F720" s="652"/>
      <c r="G720" s="652"/>
      <c r="H720" s="2970" t="s">
        <v>3680</v>
      </c>
      <c r="I720" s="2971"/>
      <c r="J720" s="2550"/>
      <c r="K720" s="2973" t="str">
        <f t="shared" ref="K720:P720" si="356">IF(OR(K698=0,K705=0),"",K698/K705)</f>
        <v/>
      </c>
      <c r="L720" s="2973" t="str">
        <f t="shared" si="356"/>
        <v/>
      </c>
      <c r="M720" s="2973" t="str">
        <f t="shared" si="356"/>
        <v/>
      </c>
      <c r="N720" s="2973" t="str">
        <f t="shared" si="356"/>
        <v/>
      </c>
      <c r="O720" s="2973" t="str">
        <f t="shared" si="356"/>
        <v/>
      </c>
      <c r="P720" s="2973" t="str">
        <f t="shared" si="356"/>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7">IF(OR(K721="",K698=0),"", K698-K721)</f>
        <v/>
      </c>
      <c r="L722" s="2975" t="str">
        <f t="shared" si="357"/>
        <v/>
      </c>
      <c r="M722" s="2975" t="str">
        <f t="shared" si="357"/>
        <v/>
      </c>
      <c r="N722" s="2975" t="str">
        <f t="shared" si="357"/>
        <v/>
      </c>
      <c r="O722" s="2975" t="str">
        <f t="shared" si="357"/>
        <v/>
      </c>
      <c r="P722" s="2975" t="str">
        <f t="shared" si="357"/>
        <v/>
      </c>
    </row>
    <row r="723" spans="1:380">
      <c r="C723" s="2977" t="s">
        <v>4071</v>
      </c>
      <c r="D723" s="652"/>
      <c r="E723" s="652"/>
      <c r="F723" s="652"/>
      <c r="G723" s="652"/>
      <c r="H723" s="2970" t="s">
        <v>3681</v>
      </c>
      <c r="I723" s="2971"/>
      <c r="J723" s="2550"/>
      <c r="K723" s="2973" t="str">
        <f t="shared" ref="K723:P723" si="358">IF(OR(K699=0,K705=0),"",K699/K705)</f>
        <v/>
      </c>
      <c r="L723" s="2973" t="str">
        <f t="shared" si="358"/>
        <v/>
      </c>
      <c r="M723" s="2973" t="str">
        <f t="shared" si="358"/>
        <v/>
      </c>
      <c r="N723" s="2973" t="str">
        <f t="shared" si="358"/>
        <v/>
      </c>
      <c r="O723" s="2973" t="str">
        <f t="shared" si="358"/>
        <v/>
      </c>
      <c r="P723" s="2973" t="str">
        <f t="shared" si="358"/>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59">IF(OR(K724="",K699=0),"", K699-K724)</f>
        <v/>
      </c>
      <c r="L725" s="2975" t="str">
        <f t="shared" si="359"/>
        <v/>
      </c>
      <c r="M725" s="2975" t="str">
        <f t="shared" si="359"/>
        <v/>
      </c>
      <c r="N725" s="2975" t="str">
        <f t="shared" si="359"/>
        <v/>
      </c>
      <c r="O725" s="2975" t="str">
        <f t="shared" si="359"/>
        <v/>
      </c>
      <c r="P725" s="2975" t="str">
        <f t="shared" si="359"/>
        <v/>
      </c>
    </row>
    <row r="726" spans="1:380">
      <c r="C726" s="2977" t="s">
        <v>4071</v>
      </c>
      <c r="D726" s="652"/>
      <c r="E726" s="652"/>
      <c r="F726" s="652"/>
      <c r="G726" s="652"/>
      <c r="H726" s="2970" t="s">
        <v>3682</v>
      </c>
      <c r="I726" s="2971"/>
      <c r="J726" s="2550"/>
      <c r="K726" s="2973" t="str">
        <f t="shared" ref="K726:P726" si="360">IF(OR(K700=0,K705=0),"",K700/K705)</f>
        <v/>
      </c>
      <c r="L726" s="2973" t="str">
        <f t="shared" si="360"/>
        <v/>
      </c>
      <c r="M726" s="2973" t="str">
        <f t="shared" si="360"/>
        <v/>
      </c>
      <c r="N726" s="2973" t="str">
        <f t="shared" si="360"/>
        <v/>
      </c>
      <c r="O726" s="2973" t="str">
        <f t="shared" si="360"/>
        <v/>
      </c>
      <c r="P726" s="2973" t="str">
        <f t="shared" si="360"/>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1">IF(OR(K727="",K700=0),"", K700-K727)</f>
        <v/>
      </c>
      <c r="L728" s="2975" t="str">
        <f t="shared" si="361"/>
        <v/>
      </c>
      <c r="M728" s="2975" t="str">
        <f t="shared" si="361"/>
        <v/>
      </c>
      <c r="N728" s="2975" t="str">
        <f t="shared" si="361"/>
        <v/>
      </c>
      <c r="O728" s="2975" t="str">
        <f t="shared" si="361"/>
        <v/>
      </c>
      <c r="P728" s="2975" t="str">
        <f t="shared" si="361"/>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3678</v>
      </c>
      <c r="I731" s="474"/>
      <c r="K731" s="2979">
        <f>CP687</f>
        <v>0</v>
      </c>
      <c r="L731" s="2979">
        <f>CQ687</f>
        <v>0</v>
      </c>
      <c r="M731" s="2979">
        <f>CR687</f>
        <v>0</v>
      </c>
      <c r="N731" s="2979">
        <f>CS687</f>
        <v>0</v>
      </c>
      <c r="O731" s="2979">
        <f>CT687</f>
        <v>0</v>
      </c>
      <c r="P731" s="2962">
        <f t="shared" ref="P731:P738" si="362">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3679</v>
      </c>
      <c r="I732" s="474"/>
      <c r="K732" s="2962">
        <f>CK687</f>
        <v>0</v>
      </c>
      <c r="L732" s="2962">
        <f>CL687</f>
        <v>1</v>
      </c>
      <c r="M732" s="2962">
        <f>CM687</f>
        <v>4</v>
      </c>
      <c r="N732" s="2962">
        <f>CN687</f>
        <v>0</v>
      </c>
      <c r="O732" s="2962">
        <f>CO687</f>
        <v>0</v>
      </c>
      <c r="P732" s="2962">
        <f t="shared" si="362"/>
        <v>5</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2"/>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2"/>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3680</v>
      </c>
      <c r="I735" s="474"/>
      <c r="K735" s="2962">
        <f>BV687</f>
        <v>0</v>
      </c>
      <c r="L735" s="2962">
        <f>BW687</f>
        <v>0</v>
      </c>
      <c r="M735" s="2962">
        <f>BX687</f>
        <v>0</v>
      </c>
      <c r="N735" s="2962">
        <f>BY687</f>
        <v>0</v>
      </c>
      <c r="O735" s="2962">
        <f>BZ687</f>
        <v>0</v>
      </c>
      <c r="P735" s="2962">
        <f t="shared" si="362"/>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3681</v>
      </c>
      <c r="I736" s="474"/>
      <c r="K736" s="2962">
        <f>BQ687</f>
        <v>0</v>
      </c>
      <c r="L736" s="2962">
        <f>BR687</f>
        <v>0</v>
      </c>
      <c r="M736" s="2962">
        <f>BS687</f>
        <v>0</v>
      </c>
      <c r="N736" s="2962">
        <f>BT687</f>
        <v>0</v>
      </c>
      <c r="O736" s="2962">
        <f>BU687</f>
        <v>0</v>
      </c>
      <c r="P736" s="2962">
        <f t="shared" si="362"/>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3682</v>
      </c>
      <c r="I737" s="474"/>
      <c r="K737" s="2979">
        <f>BL687</f>
        <v>0</v>
      </c>
      <c r="L737" s="2979">
        <f>BM687</f>
        <v>0</v>
      </c>
      <c r="M737" s="2979">
        <f>BN687</f>
        <v>0</v>
      </c>
      <c r="N737" s="2979">
        <f>BO687</f>
        <v>0</v>
      </c>
      <c r="O737" s="2979">
        <f>BP687</f>
        <v>0</v>
      </c>
      <c r="P737" s="2962">
        <f t="shared" si="362"/>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v>
      </c>
      <c r="M738" s="2962">
        <f>SUM(M731:M737)</f>
        <v>4</v>
      </c>
      <c r="N738" s="2962">
        <f>SUM(N731:N737)</f>
        <v>0</v>
      </c>
      <c r="O738" s="2962">
        <f>SUM(O731:O737)</f>
        <v>0</v>
      </c>
      <c r="P738" s="2962">
        <f t="shared" si="362"/>
        <v>5</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3678</v>
      </c>
      <c r="I742" s="474"/>
      <c r="K742" s="2979">
        <f>DY687</f>
        <v>0</v>
      </c>
      <c r="L742" s="2979">
        <f>DZ687</f>
        <v>0</v>
      </c>
      <c r="M742" s="2979">
        <f>EA687</f>
        <v>0</v>
      </c>
      <c r="N742" s="2979">
        <f>EB687</f>
        <v>0</v>
      </c>
      <c r="O742" s="2979">
        <f>EC687</f>
        <v>0</v>
      </c>
      <c r="P742" s="2962">
        <f t="shared" ref="P742:P749" si="363">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3679</v>
      </c>
      <c r="I743" s="474"/>
      <c r="K743" s="2962">
        <f>DT687</f>
        <v>0</v>
      </c>
      <c r="L743" s="2962">
        <f>DU687</f>
        <v>0</v>
      </c>
      <c r="M743" s="2962">
        <f>DV687</f>
        <v>0</v>
      </c>
      <c r="N743" s="2962">
        <f>DW687</f>
        <v>0</v>
      </c>
      <c r="O743" s="2962">
        <f>DX687</f>
        <v>0</v>
      </c>
      <c r="P743" s="2962">
        <f t="shared" si="363"/>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3"/>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3"/>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3680</v>
      </c>
      <c r="I746" s="474"/>
      <c r="K746" s="2962">
        <f>DE687</f>
        <v>0</v>
      </c>
      <c r="L746" s="2962">
        <f>DF687</f>
        <v>0</v>
      </c>
      <c r="M746" s="2962">
        <f>DG687</f>
        <v>0</v>
      </c>
      <c r="N746" s="2962">
        <f>DH687</f>
        <v>0</v>
      </c>
      <c r="O746" s="2962">
        <f>DI687</f>
        <v>0</v>
      </c>
      <c r="P746" s="2962">
        <f t="shared" si="363"/>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3681</v>
      </c>
      <c r="I747" s="474"/>
      <c r="K747" s="2962">
        <f>CZ687</f>
        <v>0</v>
      </c>
      <c r="L747" s="2962">
        <f>DA687</f>
        <v>0</v>
      </c>
      <c r="M747" s="2962">
        <f>DB687</f>
        <v>0</v>
      </c>
      <c r="N747" s="2962">
        <f>DC687</f>
        <v>0</v>
      </c>
      <c r="O747" s="2962">
        <f>DD687</f>
        <v>0</v>
      </c>
      <c r="P747" s="2962">
        <f t="shared" si="363"/>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3682</v>
      </c>
      <c r="I748" s="474"/>
      <c r="K748" s="2979">
        <f>CU687</f>
        <v>0</v>
      </c>
      <c r="L748" s="2979">
        <f>CV687</f>
        <v>0</v>
      </c>
      <c r="M748" s="2979">
        <f>CW687</f>
        <v>0</v>
      </c>
      <c r="N748" s="2979">
        <f>CX687</f>
        <v>0</v>
      </c>
      <c r="O748" s="2979">
        <f>CY687</f>
        <v>0</v>
      </c>
      <c r="P748" s="2962">
        <f t="shared" si="363"/>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3"/>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12</v>
      </c>
      <c r="M751" s="2962">
        <f>GI687</f>
        <v>34</v>
      </c>
      <c r="N751" s="2962">
        <f>GJ687</f>
        <v>0</v>
      </c>
      <c r="O751" s="2962">
        <f>GK687</f>
        <v>0</v>
      </c>
      <c r="P751" s="2962">
        <f t="shared" ref="P751:P761" si="364">SUM(K751:O751)</f>
        <v>46</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4"/>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12</v>
      </c>
      <c r="M753" s="2962">
        <f>SUM(M751:M752)+GS687</f>
        <v>34</v>
      </c>
      <c r="N753" s="2962">
        <f>SUM(N751:N752)+GT687</f>
        <v>0</v>
      </c>
      <c r="O753" s="2962">
        <f>SUM(O751:O752)+GU687</f>
        <v>0</v>
      </c>
      <c r="P753" s="2962">
        <f t="shared" si="364"/>
        <v>46</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4"/>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4"/>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4"/>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4"/>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4"/>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4"/>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4"/>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4"/>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5">SUM(K766:K773)</f>
        <v>0</v>
      </c>
      <c r="L765" s="2962">
        <f t="shared" si="365"/>
        <v>12</v>
      </c>
      <c r="M765" s="2962">
        <f t="shared" si="365"/>
        <v>34</v>
      </c>
      <c r="N765" s="2962">
        <f t="shared" si="365"/>
        <v>0</v>
      </c>
      <c r="O765" s="2962">
        <f t="shared" si="365"/>
        <v>0</v>
      </c>
      <c r="P765" s="2962">
        <f t="shared" si="365"/>
        <v>46</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6297</v>
      </c>
      <c r="I766" s="2923"/>
      <c r="K766" s="2962">
        <f>JS687</f>
        <v>0</v>
      </c>
      <c r="L766" s="2962">
        <f>JT687</f>
        <v>0</v>
      </c>
      <c r="M766" s="2962">
        <f>JU687</f>
        <v>0</v>
      </c>
      <c r="N766" s="2962">
        <f>JV687</f>
        <v>0</v>
      </c>
      <c r="O766" s="2962">
        <f>JW687</f>
        <v>0</v>
      </c>
      <c r="P766" s="2962">
        <f t="shared" ref="P766:P781" si="366">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6"/>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12</v>
      </c>
      <c r="M768" s="2962">
        <f>JZ687</f>
        <v>34</v>
      </c>
      <c r="N768" s="2962">
        <f>KA687</f>
        <v>0</v>
      </c>
      <c r="O768" s="2962">
        <f>KB687</f>
        <v>0</v>
      </c>
      <c r="P768" s="2962">
        <f t="shared" si="366"/>
        <v>46</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6"/>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6299</v>
      </c>
      <c r="I770" s="2923"/>
      <c r="K770" s="2962">
        <f>KM687</f>
        <v>0</v>
      </c>
      <c r="L770" s="2962">
        <f>KN687</f>
        <v>0</v>
      </c>
      <c r="M770" s="2962">
        <f>KO687</f>
        <v>0</v>
      </c>
      <c r="N770" s="2962">
        <f>KP687</f>
        <v>0</v>
      </c>
      <c r="O770" s="2962">
        <f>KQ687</f>
        <v>0</v>
      </c>
      <c r="P770" s="2962">
        <f t="shared" si="366"/>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6"/>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6"/>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6"/>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6"/>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6"/>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0</v>
      </c>
      <c r="L776" s="2962">
        <f>JJ687</f>
        <v>0</v>
      </c>
      <c r="M776" s="2962">
        <f>JK687</f>
        <v>0</v>
      </c>
      <c r="N776" s="2962">
        <f>JL687</f>
        <v>0</v>
      </c>
      <c r="O776" s="2962">
        <f>JM687</f>
        <v>0</v>
      </c>
      <c r="P776" s="2962">
        <f t="shared" si="366"/>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6"/>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6293</v>
      </c>
      <c r="F778" s="2550"/>
      <c r="H778" s="2915"/>
      <c r="I778" s="2923"/>
      <c r="K778" s="2962">
        <f>IY687</f>
        <v>0</v>
      </c>
      <c r="L778" s="2962">
        <f>IZ687</f>
        <v>0</v>
      </c>
      <c r="M778" s="2962">
        <f>JA687</f>
        <v>0</v>
      </c>
      <c r="N778" s="2962">
        <f>JB687</f>
        <v>0</v>
      </c>
      <c r="O778" s="2962">
        <f>JC687</f>
        <v>0</v>
      </c>
      <c r="P778" s="2962">
        <f t="shared" si="366"/>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6"/>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6"/>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6"/>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2994</v>
      </c>
      <c r="F785" s="2692"/>
      <c r="H785" s="2915"/>
      <c r="I785" s="2923"/>
      <c r="K785" s="2962">
        <f t="shared" ref="K785:O786" si="367">K774+K778+K780</f>
        <v>0</v>
      </c>
      <c r="L785" s="2962">
        <f>L774+L778+L780</f>
        <v>0</v>
      </c>
      <c r="M785" s="2962">
        <f t="shared" si="367"/>
        <v>0</v>
      </c>
      <c r="N785" s="2962">
        <f t="shared" si="367"/>
        <v>0</v>
      </c>
      <c r="O785" s="2962">
        <f t="shared" si="367"/>
        <v>0</v>
      </c>
      <c r="P785" s="2962">
        <f t="shared" ref="P785:P792" si="368">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7"/>
        <v>0</v>
      </c>
      <c r="L786" s="2968">
        <f t="shared" si="367"/>
        <v>0</v>
      </c>
      <c r="M786" s="2968">
        <f t="shared" si="367"/>
        <v>0</v>
      </c>
      <c r="N786" s="2968">
        <f t="shared" si="367"/>
        <v>0</v>
      </c>
      <c r="O786" s="2968">
        <f t="shared" si="367"/>
        <v>0</v>
      </c>
      <c r="P786" s="2968">
        <f t="shared" si="368"/>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69">K776</f>
        <v>0</v>
      </c>
      <c r="L787" s="2962">
        <f t="shared" si="369"/>
        <v>0</v>
      </c>
      <c r="M787" s="2962">
        <f t="shared" si="369"/>
        <v>0</v>
      </c>
      <c r="N787" s="2962">
        <f t="shared" si="369"/>
        <v>0</v>
      </c>
      <c r="O787" s="2962">
        <f t="shared" si="369"/>
        <v>0</v>
      </c>
      <c r="P787" s="2962">
        <f t="shared" si="368"/>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69"/>
        <v>0</v>
      </c>
      <c r="L788" s="2968">
        <f t="shared" si="369"/>
        <v>0</v>
      </c>
      <c r="M788" s="2968">
        <f t="shared" si="369"/>
        <v>0</v>
      </c>
      <c r="N788" s="2968">
        <f t="shared" si="369"/>
        <v>0</v>
      </c>
      <c r="O788" s="2968">
        <f t="shared" si="369"/>
        <v>0</v>
      </c>
      <c r="P788" s="2968">
        <f t="shared" si="368"/>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0">L766+L770</f>
        <v>0</v>
      </c>
      <c r="M789" s="2962">
        <f t="shared" si="370"/>
        <v>0</v>
      </c>
      <c r="N789" s="2962">
        <f t="shared" si="370"/>
        <v>0</v>
      </c>
      <c r="O789" s="2962">
        <f t="shared" si="370"/>
        <v>0</v>
      </c>
      <c r="P789" s="2962">
        <f t="shared" si="368"/>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0"/>
        <v>0</v>
      </c>
      <c r="M790" s="2968">
        <f t="shared" si="370"/>
        <v>0</v>
      </c>
      <c r="N790" s="2968">
        <f t="shared" si="370"/>
        <v>0</v>
      </c>
      <c r="O790" s="2968">
        <f t="shared" si="370"/>
        <v>0</v>
      </c>
      <c r="P790" s="2968">
        <f t="shared" si="368"/>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0"/>
        <v>12</v>
      </c>
      <c r="M791" s="2962">
        <f t="shared" si="370"/>
        <v>34</v>
      </c>
      <c r="N791" s="2962">
        <f t="shared" si="370"/>
        <v>0</v>
      </c>
      <c r="O791" s="2962">
        <f t="shared" si="370"/>
        <v>0</v>
      </c>
      <c r="P791" s="2962">
        <f t="shared" si="368"/>
        <v>46</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0"/>
        <v>0</v>
      </c>
      <c r="M792" s="2968">
        <f t="shared" si="370"/>
        <v>0</v>
      </c>
      <c r="N792" s="2968">
        <f t="shared" si="370"/>
        <v>0</v>
      </c>
      <c r="O792" s="2968">
        <f t="shared" si="370"/>
        <v>0</v>
      </c>
      <c r="P792" s="2968">
        <f t="shared" si="368"/>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3678</v>
      </c>
      <c r="I795" s="1024"/>
      <c r="K795" s="2979">
        <f>EI687</f>
        <v>0</v>
      </c>
      <c r="L795" s="2979">
        <f>EJ687</f>
        <v>0</v>
      </c>
      <c r="M795" s="2979">
        <f>EK687</f>
        <v>0</v>
      </c>
      <c r="N795" s="2979">
        <f>EL687</f>
        <v>0</v>
      </c>
      <c r="O795" s="2979">
        <f>EM687</f>
        <v>0</v>
      </c>
      <c r="P795" s="2986">
        <f t="shared" ref="P795:P801" si="371">SUM(K795:O795)</f>
        <v>0</v>
      </c>
      <c r="Q795" s="2987" t="str">
        <f t="shared" ref="Q795:Q801" si="372">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3679</v>
      </c>
      <c r="I796" s="2923"/>
      <c r="K796" s="2986">
        <f>EN687</f>
        <v>0</v>
      </c>
      <c r="L796" s="2986">
        <f>EO687</f>
        <v>780</v>
      </c>
      <c r="M796" s="2986">
        <f>EP687</f>
        <v>4152</v>
      </c>
      <c r="N796" s="2986">
        <f>EQ687</f>
        <v>0</v>
      </c>
      <c r="O796" s="2986">
        <f>ER687</f>
        <v>0</v>
      </c>
      <c r="P796" s="2986">
        <f t="shared" si="371"/>
        <v>4932</v>
      </c>
      <c r="Q796" s="2987">
        <f t="shared" si="372"/>
        <v>986.4</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5460</v>
      </c>
      <c r="M797" s="2986">
        <f>EU687</f>
        <v>19722</v>
      </c>
      <c r="N797" s="2986">
        <f>EV687</f>
        <v>0</v>
      </c>
      <c r="O797" s="2986">
        <f>EW687</f>
        <v>0</v>
      </c>
      <c r="P797" s="2986">
        <f t="shared" si="371"/>
        <v>25182</v>
      </c>
      <c r="Q797" s="2987">
        <f t="shared" si="372"/>
        <v>968.53846153846155</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3120</v>
      </c>
      <c r="M798" s="2986">
        <f>EZ687</f>
        <v>11418</v>
      </c>
      <c r="N798" s="2986">
        <f>FA687</f>
        <v>0</v>
      </c>
      <c r="O798" s="2986">
        <f>FB687</f>
        <v>0</v>
      </c>
      <c r="P798" s="2986">
        <f t="shared" si="371"/>
        <v>14538</v>
      </c>
      <c r="Q798" s="2987">
        <f t="shared" si="372"/>
        <v>969.2</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3680</v>
      </c>
      <c r="I799" s="2923"/>
      <c r="K799" s="2986">
        <f>FC687</f>
        <v>0</v>
      </c>
      <c r="L799" s="2986">
        <f>FD687</f>
        <v>0</v>
      </c>
      <c r="M799" s="2986">
        <f>FE687</f>
        <v>0</v>
      </c>
      <c r="N799" s="2986">
        <f>FF687</f>
        <v>0</v>
      </c>
      <c r="O799" s="2986">
        <f>FG687</f>
        <v>0</v>
      </c>
      <c r="P799" s="2986">
        <f t="shared" si="371"/>
        <v>0</v>
      </c>
      <c r="Q799" s="2987" t="str">
        <f t="shared" si="372"/>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3681</v>
      </c>
      <c r="I800" s="2923"/>
      <c r="K800" s="2986">
        <f>FH687</f>
        <v>0</v>
      </c>
      <c r="L800" s="2986">
        <f>FI687</f>
        <v>0</v>
      </c>
      <c r="M800" s="2986">
        <f>FJ687</f>
        <v>0</v>
      </c>
      <c r="N800" s="2986">
        <f>FK687</f>
        <v>0</v>
      </c>
      <c r="O800" s="2986">
        <f>FL687</f>
        <v>0</v>
      </c>
      <c r="P800" s="2986">
        <f t="shared" si="371"/>
        <v>0</v>
      </c>
      <c r="Q800" s="2987" t="str">
        <f t="shared" si="372"/>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3682</v>
      </c>
      <c r="I801" s="1024"/>
      <c r="K801" s="2979">
        <f>FM687</f>
        <v>0</v>
      </c>
      <c r="L801" s="2979">
        <f>FN687</f>
        <v>0</v>
      </c>
      <c r="M801" s="2979">
        <f>FO687</f>
        <v>0</v>
      </c>
      <c r="N801" s="2979">
        <f>FP687</f>
        <v>0</v>
      </c>
      <c r="O801" s="2979">
        <f>FQ687</f>
        <v>0</v>
      </c>
      <c r="P801" s="2986">
        <f t="shared" si="371"/>
        <v>0</v>
      </c>
      <c r="Q801" s="2987" t="str">
        <f t="shared" si="372"/>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3763</v>
      </c>
      <c r="I802" s="2984"/>
      <c r="J802" s="2965"/>
      <c r="K802" s="2988">
        <f>SUM(K795:K801)</f>
        <v>0</v>
      </c>
      <c r="L802" s="2988">
        <f>SUM(L795:L801)</f>
        <v>9360</v>
      </c>
      <c r="M802" s="2988">
        <f>SUM(M795:M801)</f>
        <v>35292</v>
      </c>
      <c r="N802" s="2988">
        <f>SUM(N795:N801)</f>
        <v>0</v>
      </c>
      <c r="O802" s="2988">
        <f>SUM(O795:O801)</f>
        <v>0</v>
      </c>
      <c r="P802" s="2988">
        <f>SUM(K802:O802)</f>
        <v>44652</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9360</v>
      </c>
      <c r="M804" s="2988">
        <f>SUM(M802:M803)</f>
        <v>35292</v>
      </c>
      <c r="N804" s="2988">
        <f>SUM(N802:N803)</f>
        <v>0</v>
      </c>
      <c r="O804" s="2988">
        <f>SUM(O802:O803)</f>
        <v>0</v>
      </c>
      <c r="P804" s="2988">
        <f>SUM(K804:O804)</f>
        <v>44652</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9360</v>
      </c>
      <c r="M806" s="2986">
        <f>SUM(M804:M805)</f>
        <v>35292</v>
      </c>
      <c r="N806" s="2986">
        <f>SUM(N804:N805)</f>
        <v>0</v>
      </c>
      <c r="O806" s="2986">
        <f>SUM(O804:O805)</f>
        <v>0</v>
      </c>
      <c r="P806" s="2986">
        <f>SUM(K806:O806)</f>
        <v>44652</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780</v>
      </c>
      <c r="M809" s="2989">
        <f>IF(OR(M705="",M705=0),"",M806/M705)</f>
        <v>1038</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3336</v>
      </c>
      <c r="L812" s="2764"/>
      <c r="Z812" s="2682">
        <v>68</v>
      </c>
    </row>
    <row r="813" spans="1:380" s="2681" customFormat="1" ht="13.35" customHeight="1">
      <c r="A813" s="2682"/>
      <c r="C813" s="2693" t="s">
        <v>242</v>
      </c>
      <c r="K813" s="2990">
        <f>P806+K812</f>
        <v>47988</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6851</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6310.8</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3">SUM(J821:J822)</f>
        <v>0</v>
      </c>
      <c r="K823" s="3002">
        <f t="shared" si="373"/>
        <v>0</v>
      </c>
      <c r="L823" s="3002">
        <f t="shared" si="373"/>
        <v>0</v>
      </c>
      <c r="M823" s="3002">
        <f t="shared" si="373"/>
        <v>0</v>
      </c>
      <c r="N823" s="3002">
        <f t="shared" si="373"/>
        <v>0</v>
      </c>
      <c r="O823" s="3002">
        <f t="shared" si="373"/>
        <v>0</v>
      </c>
      <c r="P823" s="3002">
        <f t="shared" si="373"/>
        <v>0</v>
      </c>
      <c r="Q823" s="3002">
        <f t="shared" si="373"/>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6772</v>
      </c>
      <c r="D827" s="2135"/>
      <c r="E827" s="2135"/>
      <c r="F827" s="2135"/>
      <c r="H827" s="3002">
        <f>SUM(H825:H826)</f>
        <v>0</v>
      </c>
      <c r="I827" s="3002">
        <f>SUM(I825:I826)</f>
        <v>0</v>
      </c>
      <c r="J827" s="3002">
        <f t="shared" ref="J827:Q827" si="374">SUM(J825:J826)</f>
        <v>0</v>
      </c>
      <c r="K827" s="3002">
        <f t="shared" si="374"/>
        <v>0</v>
      </c>
      <c r="L827" s="3002">
        <f t="shared" si="374"/>
        <v>0</v>
      </c>
      <c r="M827" s="3002">
        <f t="shared" si="374"/>
        <v>0</v>
      </c>
      <c r="N827" s="3002">
        <f t="shared" si="374"/>
        <v>0</v>
      </c>
      <c r="O827" s="3002">
        <f t="shared" si="374"/>
        <v>0</v>
      </c>
      <c r="P827" s="3002">
        <f t="shared" si="374"/>
        <v>0</v>
      </c>
      <c r="Q827" s="3002">
        <f t="shared" si="374"/>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5">SUM(J830:J831)</f>
        <v>0</v>
      </c>
      <c r="K832" s="3002">
        <f t="shared" si="375"/>
        <v>0</v>
      </c>
      <c r="L832" s="3002">
        <f t="shared" si="375"/>
        <v>0</v>
      </c>
      <c r="M832" s="3002">
        <f t="shared" si="375"/>
        <v>0</v>
      </c>
      <c r="N832" s="3002">
        <f t="shared" si="375"/>
        <v>0</v>
      </c>
      <c r="O832" s="3002">
        <f t="shared" si="375"/>
        <v>0</v>
      </c>
      <c r="P832" s="3002">
        <f t="shared" si="375"/>
        <v>0</v>
      </c>
      <c r="Q832" s="3002">
        <f t="shared" si="375"/>
        <v>0</v>
      </c>
      <c r="R832" s="475"/>
      <c r="S832" s="2846"/>
      <c r="T832" s="2846"/>
      <c r="U832" s="2846"/>
      <c r="V832" s="2846"/>
      <c r="W832" s="2846"/>
      <c r="NP832" s="2751"/>
    </row>
    <row r="833" spans="2:380" s="652" customFormat="1" ht="15.6"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6772</v>
      </c>
      <c r="D836" s="2135"/>
      <c r="E836" s="2135"/>
      <c r="F836" s="2135"/>
      <c r="H836" s="3002">
        <f>SUM(H834:H835)</f>
        <v>0</v>
      </c>
      <c r="I836" s="3002">
        <f>SUM(I834:I835)</f>
        <v>0</v>
      </c>
      <c r="J836" s="3002">
        <f t="shared" ref="J836:Q836" si="376">SUM(J834:J835)</f>
        <v>0</v>
      </c>
      <c r="K836" s="3002">
        <f t="shared" si="376"/>
        <v>0</v>
      </c>
      <c r="L836" s="3002">
        <f t="shared" si="376"/>
        <v>0</v>
      </c>
      <c r="M836" s="3002">
        <f t="shared" si="376"/>
        <v>0</v>
      </c>
      <c r="N836" s="3002">
        <f t="shared" si="376"/>
        <v>0</v>
      </c>
      <c r="O836" s="3002">
        <f t="shared" si="376"/>
        <v>0</v>
      </c>
      <c r="P836" s="3002">
        <f t="shared" si="376"/>
        <v>0</v>
      </c>
      <c r="Q836" s="3002">
        <f t="shared" si="376"/>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7">SUM(J839:J840)</f>
        <v>0</v>
      </c>
      <c r="K841" s="3002">
        <f t="shared" si="377"/>
        <v>0</v>
      </c>
      <c r="L841" s="3002">
        <f t="shared" si="377"/>
        <v>0</v>
      </c>
      <c r="M841" s="3002">
        <f t="shared" si="377"/>
        <v>0</v>
      </c>
      <c r="N841" s="3002">
        <f t="shared" si="377"/>
        <v>0</v>
      </c>
      <c r="O841" s="3002">
        <f t="shared" si="377"/>
        <v>0</v>
      </c>
      <c r="P841" s="3002">
        <f t="shared" si="377"/>
        <v>0</v>
      </c>
      <c r="Q841" s="3002">
        <f t="shared" si="377"/>
        <v>0</v>
      </c>
      <c r="R841" s="475"/>
      <c r="S841" s="2846"/>
      <c r="T841" s="2846"/>
      <c r="U841" s="2846"/>
      <c r="V841" s="2846"/>
      <c r="W841" s="2846"/>
      <c r="NP841" s="2751"/>
    </row>
    <row r="842" spans="2:380" s="652" customFormat="1" ht="15.6"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6772</v>
      </c>
      <c r="D845" s="2135"/>
      <c r="E845" s="2135"/>
      <c r="F845" s="2135"/>
      <c r="H845" s="3002">
        <f>SUM(H843:H844)</f>
        <v>0</v>
      </c>
      <c r="I845" s="3002">
        <f>SUM(I843:I844)</f>
        <v>0</v>
      </c>
      <c r="J845" s="3002">
        <f t="shared" ref="J845:Q845" si="378">SUM(J843:J844)</f>
        <v>0</v>
      </c>
      <c r="K845" s="3002">
        <f t="shared" si="378"/>
        <v>0</v>
      </c>
      <c r="L845" s="3002">
        <f t="shared" si="378"/>
        <v>0</v>
      </c>
      <c r="M845" s="3002">
        <f t="shared" si="378"/>
        <v>0</v>
      </c>
      <c r="N845" s="3002">
        <f t="shared" si="378"/>
        <v>0</v>
      </c>
      <c r="O845" s="3002">
        <f t="shared" si="378"/>
        <v>0</v>
      </c>
      <c r="P845" s="3002">
        <f t="shared" si="378"/>
        <v>0</v>
      </c>
      <c r="Q845" s="3002">
        <f t="shared" si="378"/>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22080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34400</v>
      </c>
      <c r="G859" s="3008"/>
      <c r="I859" s="2550" t="s">
        <v>1301</v>
      </c>
      <c r="L859" s="3008">
        <f>'Part V-Revenues &amp; Expenses'!L221</f>
        <v>0</v>
      </c>
      <c r="M859" s="3008"/>
      <c r="O859" s="3009">
        <f>+Q858/(P705*0.93)</f>
        <v>516.12903225806451</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30900</v>
      </c>
      <c r="G860" s="3008"/>
      <c r="I860" s="2550" t="s">
        <v>1302</v>
      </c>
      <c r="L860" s="3008">
        <f>'Part V-Revenues &amp; Expenses'!L222</f>
        <v>600</v>
      </c>
      <c r="M860" s="3008"/>
      <c r="O860" s="3009">
        <f>+Q858/(P705*0.93)/12</f>
        <v>43.01075268817204</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600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4023</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65300</v>
      </c>
      <c r="G865" s="2986"/>
      <c r="I865" s="2550" t="s">
        <v>1498</v>
      </c>
      <c r="L865" s="3008">
        <f>'Part V-Revenues &amp; Expenses'!L227</f>
        <v>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216749</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v>
      </c>
      <c r="M867" s="3008"/>
      <c r="N867" s="2925"/>
      <c r="O867" s="2967" t="s">
        <v>2488</v>
      </c>
      <c r="P867" s="3009">
        <f>+Q866/P705</f>
        <v>4711.934782608696</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6451</v>
      </c>
    </row>
    <row r="868" spans="2:380" s="2550" customFormat="1" ht="16.5" customHeight="1">
      <c r="B868" s="2550" t="s">
        <v>1295</v>
      </c>
      <c r="D868" s="3012"/>
      <c r="F868" s="3008">
        <f>'Part V-Revenues &amp; Expenses'!F230</f>
        <v>3000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6000</v>
      </c>
      <c r="G869" s="3008"/>
      <c r="K869" s="3010" t="s">
        <v>184</v>
      </c>
      <c r="L869" s="2989">
        <f>SUM(L865:L868)</f>
        <v>8000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6452</v>
      </c>
    </row>
    <row r="872" spans="2:380" s="2550" customFormat="1" ht="16.5" customHeight="1">
      <c r="B872" s="2550" t="s">
        <v>1496</v>
      </c>
      <c r="D872" s="3012"/>
      <c r="F872" s="3008">
        <f>'Part V-Revenues &amp; Expenses'!F234</f>
        <v>4600</v>
      </c>
      <c r="G872" s="3008"/>
      <c r="I872" s="2550" t="s">
        <v>1298</v>
      </c>
      <c r="K872" s="2682" t="s">
        <v>3887</v>
      </c>
      <c r="O872" s="2550" t="s">
        <v>3088</v>
      </c>
      <c r="Q872" s="3015">
        <f>'Part V-Revenues &amp; Expenses'!Q234</f>
        <v>11500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Misc. Administrative Costs</v>
      </c>
      <c r="C873" s="3000"/>
      <c r="D873" s="3000"/>
      <c r="E873" s="3000"/>
      <c r="F873" s="3008">
        <f>'Part V-Revenues &amp; Expenses'!F235</f>
        <v>4600</v>
      </c>
      <c r="G873" s="3008"/>
      <c r="I873" s="2550" t="s">
        <v>1291</v>
      </c>
      <c r="K873" s="2803">
        <f>L873/12/P705</f>
        <v>21.739130434782609</v>
      </c>
      <c r="L873" s="3008">
        <f>'Part V-Revenues &amp; Expenses'!L235</f>
        <v>12000</v>
      </c>
      <c r="M873" s="3008"/>
      <c r="N873" s="2925" t="str">
        <f>IF(Q872&lt;Q881, "WARNING! RR proposed is below the DCA required minimum.","")</f>
        <v/>
      </c>
      <c r="O873" s="474" t="s">
        <v>3886</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18200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3932</v>
      </c>
      <c r="K875" s="2803">
        <f>L875/12/P705</f>
        <v>5.2536231884057969</v>
      </c>
      <c r="L875" s="3008">
        <f>'Part V-Revenues &amp; Expenses'!L237</f>
        <v>2900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6385</v>
      </c>
    </row>
    <row r="876" spans="2:380" s="2550" customFormat="1" ht="16.5" customHeight="1">
      <c r="B876" s="2550" t="s">
        <v>1217</v>
      </c>
      <c r="D876" s="3012"/>
      <c r="I876" s="2550" t="s">
        <v>1294</v>
      </c>
      <c r="K876" s="2803">
        <f>L876/12/P705</f>
        <v>6.5217391304347823</v>
      </c>
      <c r="L876" s="3008">
        <f>'Part V-Revenues &amp; Expenses'!L238</f>
        <v>3600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2000</v>
      </c>
      <c r="G877" s="3008"/>
      <c r="I877" s="2550" t="s">
        <v>6852</v>
      </c>
      <c r="K877" s="2803">
        <f>L877/12/P705</f>
        <v>0</v>
      </c>
      <c r="L877" s="3008">
        <f>'Part V-Revenues &amp; Expenses'!L239</f>
        <v>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6000</v>
      </c>
      <c r="G878" s="3008"/>
      <c r="I878" s="3013" t="str">
        <f>'Part V-Revenues &amp; Expenses'!I240</f>
        <v>Cable TV &amp; Internet</v>
      </c>
      <c r="J878" s="3013"/>
      <c r="K878" s="2803">
        <f>L878/12/P705</f>
        <v>3.2608695652173911</v>
      </c>
      <c r="L878" s="3008">
        <f>'Part V-Revenues &amp; Expenses'!L240</f>
        <v>1800</v>
      </c>
      <c r="M878" s="3008"/>
      <c r="N878" s="2925"/>
      <c r="O878" s="2692" t="s">
        <v>3053</v>
      </c>
      <c r="P878" s="3021" t="str">
        <f>CONCATENATE(SUM(MK687:MO687)," units x $",'DCA Underwriting Assumptions'!$Q$29," =")</f>
        <v>46 units x $250 =</v>
      </c>
      <c r="Q878" s="3021">
        <f>SUM(MK687:MO687)*'DCA Underwriting Assumptions'!$Q$29</f>
        <v>11500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16000</v>
      </c>
      <c r="G879" s="3008"/>
      <c r="K879" s="3010" t="s">
        <v>184</v>
      </c>
      <c r="L879" s="2989">
        <f>SUM(L873:L878)</f>
        <v>20300</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4000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6453</v>
      </c>
    </row>
    <row r="881" spans="1:380" s="2550" customFormat="1" ht="16.5" customHeight="1">
      <c r="B881" s="2550" t="s">
        <v>941</v>
      </c>
      <c r="D881" s="3012"/>
      <c r="F881" s="3008">
        <f>'Part V-Revenues &amp; Expenses'!F243</f>
        <v>1200</v>
      </c>
      <c r="G881" s="3008"/>
      <c r="I881" s="2550" t="s">
        <v>1299</v>
      </c>
      <c r="O881" s="2950" t="s">
        <v>2468</v>
      </c>
      <c r="P881" s="3022">
        <f>SUM(MF687:MJ687)+SUM(MK687:MO687)+SUM(MP687:MT687)+P763</f>
        <v>46</v>
      </c>
      <c r="Q881" s="3022">
        <f>SUM(Q877:Q880)</f>
        <v>11500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4000</v>
      </c>
      <c r="G882" s="3008"/>
      <c r="I882" s="2550" t="s">
        <v>6853</v>
      </c>
      <c r="L882" s="3008">
        <f>'Part V-Revenues &amp; Expenses'!L244</f>
        <v>21161</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500</v>
      </c>
      <c r="G883" s="3008"/>
      <c r="I883" s="2550" t="s">
        <v>140</v>
      </c>
      <c r="L883" s="3008">
        <f>'Part V-Revenues &amp; Expenses'!L245</f>
        <v>27408</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6454</v>
      </c>
    </row>
    <row r="885" spans="1:380" s="2550" customFormat="1" ht="16.5" customHeight="1">
      <c r="E885" s="3010" t="s">
        <v>184</v>
      </c>
      <c r="F885" s="2986">
        <f>SUM(F877:G884)</f>
        <v>33700</v>
      </c>
      <c r="G885" s="2986"/>
      <c r="K885" s="3010" t="s">
        <v>184</v>
      </c>
      <c r="L885" s="2989">
        <f>SUM(L881:L884)</f>
        <v>48569</v>
      </c>
      <c r="M885" s="2989"/>
      <c r="O885" s="2550" t="s">
        <v>2031</v>
      </c>
      <c r="Q885" s="2989">
        <f>Q866+Q872</f>
        <v>228249</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3876</v>
      </c>
      <c r="C889" s="3010"/>
      <c r="H889" s="2962"/>
      <c r="I889" s="3023" t="s">
        <v>3877</v>
      </c>
      <c r="K889" s="2999">
        <f>'Part V-Revenues &amp; Expenses'!K251</f>
        <v>0</v>
      </c>
      <c r="L889" s="2999"/>
      <c r="M889" s="2906" t="s">
        <v>3904</v>
      </c>
      <c r="N889" s="2924">
        <f>'Part V-Revenues &amp; Expenses'!N251</f>
        <v>0</v>
      </c>
      <c r="O889" s="2550" t="s">
        <v>3879</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3905</v>
      </c>
      <c r="C891" s="3010"/>
      <c r="F891" s="2962"/>
      <c r="G891" s="2962"/>
      <c r="J891" s="2912" t="str">
        <f>'Part V-Revenues &amp; Expenses'!J253</f>
        <v>&lt;&lt;Select&gt;&gt;</v>
      </c>
      <c r="K891" s="3023" t="s">
        <v>3907</v>
      </c>
      <c r="L891" s="2912" t="str">
        <f>'Part V-Revenues &amp; Expenses'!L253</f>
        <v>&lt;&lt;Select&gt;&gt;</v>
      </c>
      <c r="M891" s="2910" t="s">
        <v>3908</v>
      </c>
      <c r="N891" s="2924">
        <f>'Part V-Revenues &amp; Expenses'!N253</f>
        <v>0</v>
      </c>
      <c r="O891" s="2550" t="s">
        <v>3906</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6455</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3875</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Please see Tab 02 for Insurance and Real Estate Tax documentation.</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Magnolia Villas, ,  County</v>
      </c>
      <c r="B897" s="2904"/>
      <c r="C897" s="2904"/>
      <c r="D897" s="2904"/>
      <c r="E897" s="2904"/>
      <c r="F897" s="2904"/>
      <c r="G897" s="2904"/>
      <c r="H897" s="2904"/>
      <c r="I897" s="2904"/>
      <c r="J897" s="2904"/>
      <c r="K897" s="2904"/>
      <c r="L897" s="2550"/>
      <c r="M897" s="2550"/>
      <c r="N897" s="2550" t="str">
        <f>A897</f>
        <v>PART SIX - OPERATING PRO FORMA  -  2022-0 Magnolia Villas,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6854</v>
      </c>
      <c r="E901" s="2969"/>
      <c r="F901" s="2969"/>
      <c r="G901" s="3026">
        <f>'Part VI-Pro Forma'!G6</f>
        <v>7500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Yes</v>
      </c>
      <c r="H904" s="3032" t="s">
        <v>1356</v>
      </c>
      <c r="K904" s="3033">
        <f>'Part VI-Pro Forma'!K9</f>
        <v>22080</v>
      </c>
      <c r="N904" s="2846"/>
      <c r="O904" s="2846"/>
      <c r="Z904" s="2751"/>
      <c r="AA904" s="2671">
        <v>9</v>
      </c>
    </row>
    <row r="905" spans="1:27" s="652" customFormat="1">
      <c r="A905" s="652" t="s">
        <v>1337</v>
      </c>
      <c r="B905" s="3025">
        <v>0.02</v>
      </c>
      <c r="D905" s="2550" t="s">
        <v>1598</v>
      </c>
      <c r="G905" s="3031">
        <f>'Part VI-Pro Forma'!G10</f>
        <v>0</v>
      </c>
      <c r="H905" s="3032" t="s">
        <v>2175</v>
      </c>
      <c r="K905" s="3034">
        <f>'Part VI-Pro Forma'!K10</f>
        <v>0</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79">B909+1</f>
        <v>2</v>
      </c>
      <c r="D909" s="652">
        <f t="shared" si="379"/>
        <v>3</v>
      </c>
      <c r="E909" s="652">
        <f t="shared" si="379"/>
        <v>4</v>
      </c>
      <c r="F909" s="652">
        <f t="shared" si="379"/>
        <v>5</v>
      </c>
      <c r="G909" s="652">
        <f t="shared" si="379"/>
        <v>6</v>
      </c>
      <c r="H909" s="652">
        <f t="shared" si="379"/>
        <v>7</v>
      </c>
      <c r="I909" s="652">
        <f t="shared" si="379"/>
        <v>8</v>
      </c>
      <c r="J909" s="652">
        <f t="shared" si="379"/>
        <v>9</v>
      </c>
      <c r="K909" s="652">
        <f t="shared" si="379"/>
        <v>10</v>
      </c>
      <c r="N909" s="2755" t="s">
        <v>2412</v>
      </c>
      <c r="O909" s="2755"/>
      <c r="Z909" s="2751"/>
      <c r="AA909" s="2671">
        <v>14</v>
      </c>
    </row>
    <row r="910" spans="1:27" s="652" customFormat="1" ht="13.35" customHeight="1">
      <c r="A910" s="652" t="s">
        <v>2216</v>
      </c>
      <c r="B910" s="3035">
        <f>'Part VI-Pro Forma'!B15</f>
        <v>315540</v>
      </c>
      <c r="C910" s="3035">
        <f>'Part VI-Pro Forma'!C15</f>
        <v>321850.8</v>
      </c>
      <c r="D910" s="3035">
        <f>'Part VI-Pro Forma'!D15</f>
        <v>328287.81599999999</v>
      </c>
      <c r="E910" s="3035">
        <f>'Part VI-Pro Forma'!E15</f>
        <v>334853.57231999998</v>
      </c>
      <c r="F910" s="3035">
        <f>'Part VI-Pro Forma'!F15</f>
        <v>341550.6437664</v>
      </c>
      <c r="G910" s="3035">
        <f>'Part VI-Pro Forma'!G15</f>
        <v>348381.65664172801</v>
      </c>
      <c r="H910" s="3035">
        <f>'Part VI-Pro Forma'!H15</f>
        <v>355349.28977456258</v>
      </c>
      <c r="I910" s="3035">
        <f>'Part VI-Pro Forma'!I15</f>
        <v>362456.27557005378</v>
      </c>
      <c r="J910" s="3035">
        <f>'Part VI-Pro Forma'!J15</f>
        <v>369705.40108145488</v>
      </c>
      <c r="K910" s="3035">
        <f>'Part VI-Pro Forma'!K15</f>
        <v>377099.50910308398</v>
      </c>
      <c r="N910" s="2846"/>
      <c r="O910" s="2846"/>
      <c r="S910" s="2918" t="s">
        <v>3410</v>
      </c>
      <c r="Z910" s="2751" t="s">
        <v>6466</v>
      </c>
      <c r="AA910" s="2671">
        <v>15</v>
      </c>
    </row>
    <row r="911" spans="1:27" s="652" customFormat="1" ht="13.35" customHeight="1">
      <c r="A911" s="652" t="s">
        <v>953</v>
      </c>
      <c r="B911" s="3035">
        <f>'Part VI-Pro Forma'!B16</f>
        <v>6310.8</v>
      </c>
      <c r="C911" s="3035">
        <f>'Part VI-Pro Forma'!C16</f>
        <v>6437.0160000000005</v>
      </c>
      <c r="D911" s="3035">
        <f>'Part VI-Pro Forma'!D16</f>
        <v>6565.7563200000004</v>
      </c>
      <c r="E911" s="3035">
        <f>'Part VI-Pro Forma'!E16</f>
        <v>6697.0714463999993</v>
      </c>
      <c r="F911" s="3035">
        <f>'Part VI-Pro Forma'!F16</f>
        <v>6831.0128753279996</v>
      </c>
      <c r="G911" s="3035">
        <f>'Part VI-Pro Forma'!G16</f>
        <v>6967.6331328345605</v>
      </c>
      <c r="H911" s="3035">
        <f>'Part VI-Pro Forma'!H16</f>
        <v>7106.9857954912522</v>
      </c>
      <c r="I911" s="3035">
        <f>'Part VI-Pro Forma'!I16</f>
        <v>7249.1255114010755</v>
      </c>
      <c r="J911" s="3035">
        <f>'Part VI-Pro Forma'!J16</f>
        <v>7394.1080216290975</v>
      </c>
      <c r="K911" s="3035">
        <f>'Part VI-Pro Forma'!K16</f>
        <v>7541.9901820616797</v>
      </c>
      <c r="N911" s="2846"/>
      <c r="O911" s="2846"/>
      <c r="S911" s="2918"/>
      <c r="Z911" s="2751" t="s">
        <v>6466</v>
      </c>
      <c r="AA911" s="2671">
        <v>16</v>
      </c>
    </row>
    <row r="912" spans="1:27" s="652" customFormat="1" ht="13.35" customHeight="1">
      <c r="A912" s="652" t="s">
        <v>2217</v>
      </c>
      <c r="B912" s="3035">
        <f>'Part VI-Pro Forma'!B17</f>
        <v>-22529.556</v>
      </c>
      <c r="C912" s="3035">
        <f>'Part VI-Pro Forma'!C17</f>
        <v>-22980.147120000001</v>
      </c>
      <c r="D912" s="3035">
        <f>'Part VI-Pro Forma'!D17</f>
        <v>-23439.750062400002</v>
      </c>
      <c r="E912" s="3035">
        <f>'Part VI-Pro Forma'!E17</f>
        <v>-23908.545063648002</v>
      </c>
      <c r="F912" s="3035">
        <f>'Part VI-Pro Forma'!F17</f>
        <v>-24386.715964920964</v>
      </c>
      <c r="G912" s="3035">
        <f>'Part VI-Pro Forma'!G17</f>
        <v>-24874.450284219383</v>
      </c>
      <c r="H912" s="3035">
        <f>'Part VI-Pro Forma'!H17</f>
        <v>-25371.93928990377</v>
      </c>
      <c r="I912" s="3035">
        <f>'Part VI-Pro Forma'!I17</f>
        <v>-25879.378075701843</v>
      </c>
      <c r="J912" s="3035">
        <f>'Part VI-Pro Forma'!J17</f>
        <v>-26396.965637215882</v>
      </c>
      <c r="K912" s="3035">
        <f>'Part VI-Pro Forma'!K17</f>
        <v>-26924.904949960201</v>
      </c>
      <c r="N912" s="2846"/>
      <c r="O912" s="2846"/>
      <c r="Q912" s="2918" t="s">
        <v>3300</v>
      </c>
      <c r="R912" s="2918" t="s">
        <v>3409</v>
      </c>
      <c r="S912" s="2918"/>
      <c r="Z912" s="2751" t="s">
        <v>6466</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6466</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6466</v>
      </c>
      <c r="AA914" s="2857">
        <v>19</v>
      </c>
    </row>
    <row r="915" spans="1:27" s="652" customFormat="1" ht="13.35" customHeight="1">
      <c r="A915" s="652" t="s">
        <v>3841</v>
      </c>
      <c r="B915" s="3035">
        <f>SUM(B910:B914)</f>
        <v>299321.24400000001</v>
      </c>
      <c r="C915" s="3035">
        <f t="shared" ref="C915:K915" si="380">SUM(C910:C914)</f>
        <v>305307.66888000001</v>
      </c>
      <c r="D915" s="3035">
        <f t="shared" si="380"/>
        <v>311413.82225759997</v>
      </c>
      <c r="E915" s="3035">
        <f t="shared" si="380"/>
        <v>317642.09870275197</v>
      </c>
      <c r="F915" s="3035">
        <f t="shared" si="380"/>
        <v>323994.94067680708</v>
      </c>
      <c r="G915" s="3035">
        <f t="shared" si="380"/>
        <v>330474.83949034318</v>
      </c>
      <c r="H915" s="3035">
        <f t="shared" si="380"/>
        <v>337084.33628015005</v>
      </c>
      <c r="I915" s="3035">
        <f t="shared" si="380"/>
        <v>343826.02300575306</v>
      </c>
      <c r="J915" s="3035">
        <f t="shared" si="380"/>
        <v>350702.5434658681</v>
      </c>
      <c r="K915" s="3035">
        <f t="shared" si="380"/>
        <v>357716.59433518548</v>
      </c>
      <c r="N915" s="2846"/>
      <c r="O915" s="2846"/>
      <c r="Z915" s="2751" t="s">
        <v>6466</v>
      </c>
      <c r="AA915" s="2671">
        <v>20</v>
      </c>
    </row>
    <row r="916" spans="1:27" s="652" customFormat="1" ht="13.35" customHeight="1">
      <c r="A916" s="652" t="s">
        <v>572</v>
      </c>
      <c r="B916" s="3035">
        <f>'Part VI-Pro Forma'!B21</f>
        <v>-194669</v>
      </c>
      <c r="C916" s="3035">
        <f>'Part VI-Pro Forma'!C21</f>
        <v>-200509.07</v>
      </c>
      <c r="D916" s="3035">
        <f>'Part VI-Pro Forma'!D21</f>
        <v>-206524.34209999998</v>
      </c>
      <c r="E916" s="3035">
        <f>'Part VI-Pro Forma'!E21</f>
        <v>-212720.07236300001</v>
      </c>
      <c r="F916" s="3035">
        <f>'Part VI-Pro Forma'!F21</f>
        <v>-219101.67453388998</v>
      </c>
      <c r="G916" s="3035">
        <f>'Part VI-Pro Forma'!G21</f>
        <v>-225674.72476990666</v>
      </c>
      <c r="H916" s="3035">
        <f>'Part VI-Pro Forma'!H21</f>
        <v>-232444.96651300389</v>
      </c>
      <c r="I916" s="3035">
        <f>'Part VI-Pro Forma'!I21</f>
        <v>-239418.31550839401</v>
      </c>
      <c r="J916" s="3035">
        <f>'Part VI-Pro Forma'!J21</f>
        <v>-246600.8649736458</v>
      </c>
      <c r="K916" s="3035">
        <f>'Part VI-Pro Forma'!K21</f>
        <v>-253998.89092285518</v>
      </c>
      <c r="N916" s="2846"/>
      <c r="O916" s="2846"/>
      <c r="Q916" s="2671">
        <v>1</v>
      </c>
      <c r="R916" s="2948">
        <f>-B927</f>
        <v>20197</v>
      </c>
      <c r="S916" s="2948">
        <f>B928+R916</f>
        <v>23751.958519943291</v>
      </c>
      <c r="Z916" s="2751" t="s">
        <v>6466</v>
      </c>
      <c r="AA916" s="2671">
        <v>21</v>
      </c>
    </row>
    <row r="917" spans="1:27" s="652" customFormat="1" ht="13.35" customHeight="1">
      <c r="A917" s="652" t="s">
        <v>1051</v>
      </c>
      <c r="B917" s="3035">
        <f>'Part VI-Pro Forma'!B22</f>
        <v>-22080</v>
      </c>
      <c r="C917" s="3035">
        <f>'Part VI-Pro Forma'!C22</f>
        <v>-22742</v>
      </c>
      <c r="D917" s="3035">
        <f>'Part VI-Pro Forma'!D22</f>
        <v>-23425</v>
      </c>
      <c r="E917" s="3035">
        <f>'Part VI-Pro Forma'!E22</f>
        <v>-24127</v>
      </c>
      <c r="F917" s="3035">
        <f>'Part VI-Pro Forma'!F22</f>
        <v>-24851</v>
      </c>
      <c r="G917" s="3035">
        <f>'Part VI-Pro Forma'!G22</f>
        <v>-25597</v>
      </c>
      <c r="H917" s="3035">
        <f>'Part VI-Pro Forma'!H22</f>
        <v>-26365</v>
      </c>
      <c r="I917" s="3035">
        <f>'Part VI-Pro Forma'!I22</f>
        <v>-27156</v>
      </c>
      <c r="J917" s="3035">
        <f>'Part VI-Pro Forma'!J22</f>
        <v>-27970</v>
      </c>
      <c r="K917" s="3035">
        <f>'Part VI-Pro Forma'!K22</f>
        <v>-28809</v>
      </c>
      <c r="N917" s="2846"/>
      <c r="O917" s="2846"/>
      <c r="Q917" s="2671">
        <v>2</v>
      </c>
      <c r="R917" s="2948">
        <f>-SUM(B927:C927)</f>
        <v>20197</v>
      </c>
      <c r="S917" s="2948">
        <f>SUM(B928:C928)+R917</f>
        <v>46643.271919886582</v>
      </c>
      <c r="Z917" s="2751" t="s">
        <v>6466</v>
      </c>
      <c r="AA917" s="2671">
        <v>22</v>
      </c>
    </row>
    <row r="918" spans="1:27" s="652" customFormat="1" ht="13.35" customHeight="1">
      <c r="A918" s="652" t="s">
        <v>1129</v>
      </c>
      <c r="B918" s="3035">
        <f>'Part VI-Pro Forma'!B23</f>
        <v>-11500</v>
      </c>
      <c r="C918" s="3035">
        <f>'Part VI-Pro Forma'!C23</f>
        <v>-11845</v>
      </c>
      <c r="D918" s="3035">
        <f>'Part VI-Pro Forma'!D23</f>
        <v>-12200.35</v>
      </c>
      <c r="E918" s="3035">
        <f>'Part VI-Pro Forma'!E23</f>
        <v>-12566.360500000001</v>
      </c>
      <c r="F918" s="3035">
        <f>'Part VI-Pro Forma'!F23</f>
        <v>-12943.351315</v>
      </c>
      <c r="G918" s="3035">
        <f>'Part VI-Pro Forma'!G23</f>
        <v>-13331.651854449998</v>
      </c>
      <c r="H918" s="3035">
        <f>'Part VI-Pro Forma'!H23</f>
        <v>-13731.601410083498</v>
      </c>
      <c r="I918" s="3035">
        <f>'Part VI-Pro Forma'!I23</f>
        <v>-14143.549452386005</v>
      </c>
      <c r="J918" s="3035">
        <f>'Part VI-Pro Forma'!J23</f>
        <v>-14567.855935957583</v>
      </c>
      <c r="K918" s="3035">
        <f>'Part VI-Pro Forma'!K23</f>
        <v>-15004.891614036311</v>
      </c>
      <c r="N918" s="2846"/>
      <c r="O918" s="2846"/>
      <c r="Q918" s="2671">
        <v>3</v>
      </c>
      <c r="R918" s="2948">
        <f>-SUM(B927:D927)</f>
        <v>20197</v>
      </c>
      <c r="S918" s="2948">
        <f>SUM(B928:D928)+R918</f>
        <v>68587.116597429849</v>
      </c>
      <c r="Z918" s="2751" t="s">
        <v>6466</v>
      </c>
      <c r="AA918" s="2671">
        <v>23</v>
      </c>
    </row>
    <row r="919" spans="1:27" s="652" customFormat="1" ht="13.35" customHeight="1">
      <c r="A919" s="652" t="s">
        <v>3840</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20197</v>
      </c>
      <c r="S919" s="2948">
        <f>SUM(B928:E928)+R919</f>
        <v>89495.496957125099</v>
      </c>
      <c r="Z919" s="2751" t="s">
        <v>6466</v>
      </c>
      <c r="AA919" s="2857">
        <v>24</v>
      </c>
    </row>
    <row r="920" spans="1:27" s="652" customFormat="1" ht="13.35" customHeight="1">
      <c r="A920" s="652" t="s">
        <v>1130</v>
      </c>
      <c r="B920" s="3035">
        <f>SUM(B915:B919)</f>
        <v>71072.244000000006</v>
      </c>
      <c r="C920" s="3035">
        <f t="shared" ref="C920:K920" si="381">SUM(C915:C919)</f>
        <v>70211.598880000005</v>
      </c>
      <c r="D920" s="3035">
        <f t="shared" si="381"/>
        <v>69264.130157599982</v>
      </c>
      <c r="E920" s="3035">
        <f t="shared" si="381"/>
        <v>68228.665839751964</v>
      </c>
      <c r="F920" s="3035">
        <f t="shared" si="381"/>
        <v>67098.914827917091</v>
      </c>
      <c r="G920" s="3035">
        <f t="shared" si="381"/>
        <v>65871.462865986512</v>
      </c>
      <c r="H920" s="3035">
        <f t="shared" si="381"/>
        <v>64542.768357062654</v>
      </c>
      <c r="I920" s="3035">
        <f t="shared" si="381"/>
        <v>63108.158044973046</v>
      </c>
      <c r="J920" s="3035">
        <f t="shared" si="381"/>
        <v>61563.82255626472</v>
      </c>
      <c r="K920" s="3035">
        <f t="shared" si="381"/>
        <v>59903.811798293988</v>
      </c>
      <c r="N920" s="2846"/>
      <c r="O920" s="2846"/>
      <c r="Q920" s="2671">
        <v>5</v>
      </c>
      <c r="R920" s="2948">
        <f>-SUM(B927:F927)</f>
        <v>20197</v>
      </c>
      <c r="S920" s="2948">
        <f>SUM(B928:F928)+R920</f>
        <v>109274.12630498548</v>
      </c>
      <c r="Z920" s="2751" t="s">
        <v>6466</v>
      </c>
      <c r="AA920" s="2671">
        <v>25</v>
      </c>
    </row>
    <row r="921" spans="1:27" s="652" customFormat="1" ht="13.35" customHeight="1">
      <c r="A921" s="652" t="s">
        <v>1487</v>
      </c>
      <c r="B921" s="3036">
        <f>'Part VI-Pro Forma'!B26</f>
        <v>-39820.285480056715</v>
      </c>
      <c r="C921" s="3036">
        <f>'Part VI-Pro Forma'!C26</f>
        <v>-39820.285480056715</v>
      </c>
      <c r="D921" s="3036">
        <f>'Part VI-Pro Forma'!D26</f>
        <v>-39820.285480056715</v>
      </c>
      <c r="E921" s="3036">
        <f>'Part VI-Pro Forma'!E26</f>
        <v>-39820.285480056715</v>
      </c>
      <c r="F921" s="3036">
        <f>'Part VI-Pro Forma'!F26</f>
        <v>-39820.285480056715</v>
      </c>
      <c r="G921" s="3036">
        <f>'Part VI-Pro Forma'!G26</f>
        <v>-39820.285480056715</v>
      </c>
      <c r="H921" s="3036">
        <f>'Part VI-Pro Forma'!H26</f>
        <v>-39820.285480056715</v>
      </c>
      <c r="I921" s="3036">
        <f>'Part VI-Pro Forma'!I26</f>
        <v>-39820.285480056715</v>
      </c>
      <c r="J921" s="3036">
        <f>'Part VI-Pro Forma'!J26</f>
        <v>-39820.285480056715</v>
      </c>
      <c r="K921" s="3036">
        <f>'Part VI-Pro Forma'!K26</f>
        <v>-39820.285480056715</v>
      </c>
      <c r="N921" s="2846"/>
      <c r="O921" s="2846"/>
      <c r="Q921" s="2671">
        <v>6</v>
      </c>
      <c r="R921" s="2948">
        <f>-SUM(B927:G927)</f>
        <v>20197</v>
      </c>
      <c r="S921" s="2948">
        <f>SUM(B928:G928)+R921</f>
        <v>127825.30369091527</v>
      </c>
      <c r="Z921" s="2751" t="s">
        <v>6466</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20197</v>
      </c>
      <c r="S922" s="2948">
        <f>SUM(B928:H928)+R922</f>
        <v>145047.78656792123</v>
      </c>
      <c r="Z922" s="2751" t="s">
        <v>6466</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20197</v>
      </c>
      <c r="S923" s="2948">
        <f>SUM(B928:I928)+R923</f>
        <v>160835.65913283755</v>
      </c>
      <c r="Z923" s="2751" t="s">
        <v>6466</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20197</v>
      </c>
      <c r="S924" s="2948">
        <f>SUM(B928:J928)+R924</f>
        <v>175079.19620904556</v>
      </c>
      <c r="Z924" s="2751" t="s">
        <v>6466</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20197</v>
      </c>
      <c r="S925" s="2948">
        <f>SUM(B928:K928)+R925</f>
        <v>187662.72252728284</v>
      </c>
      <c r="Z925" s="2751" t="s">
        <v>6466</v>
      </c>
      <c r="AA925" s="2671">
        <v>30</v>
      </c>
    </row>
    <row r="926" spans="1:27" s="652" customFormat="1" ht="13.35" customHeight="1">
      <c r="A926" s="652" t="s">
        <v>1096</v>
      </c>
      <c r="B926" s="3036">
        <f>'Part VI-Pro Forma'!B31</f>
        <v>-7500</v>
      </c>
      <c r="C926" s="3036">
        <f>'Part VI-Pro Forma'!C31</f>
        <v>-7500</v>
      </c>
      <c r="D926" s="3036">
        <f>'Part VI-Pro Forma'!D31</f>
        <v>-7500</v>
      </c>
      <c r="E926" s="3036">
        <f>'Part VI-Pro Forma'!E31</f>
        <v>-7500</v>
      </c>
      <c r="F926" s="3036">
        <f>'Part VI-Pro Forma'!F31</f>
        <v>-7500</v>
      </c>
      <c r="G926" s="3036">
        <f>'Part VI-Pro Forma'!G31</f>
        <v>-7500</v>
      </c>
      <c r="H926" s="3036">
        <f>'Part VI-Pro Forma'!H31</f>
        <v>-7500</v>
      </c>
      <c r="I926" s="3036">
        <f>'Part VI-Pro Forma'!I31</f>
        <v>-7500</v>
      </c>
      <c r="J926" s="3036">
        <f>'Part VI-Pro Forma'!J31</f>
        <v>-7500</v>
      </c>
      <c r="K926" s="3036">
        <f>'Part VI-Pro Forma'!K31</f>
        <v>-7500</v>
      </c>
      <c r="N926" s="2846"/>
      <c r="O926" s="2846"/>
      <c r="Q926" s="2671">
        <v>11</v>
      </c>
      <c r="R926" s="2948">
        <f>-SUM(B927:K927)-B959</f>
        <v>20197</v>
      </c>
      <c r="S926" s="2948">
        <f>SUM(B928:K928)+B960+R926</f>
        <v>198465.46725611709</v>
      </c>
      <c r="Z926" s="2751" t="s">
        <v>6466</v>
      </c>
      <c r="AA926" s="2671">
        <v>31</v>
      </c>
    </row>
    <row r="927" spans="1:27" s="652" customFormat="1" ht="13.35" customHeight="1">
      <c r="A927" s="652" t="s">
        <v>3363</v>
      </c>
      <c r="B927" s="3036">
        <f>'Part VI-Pro Forma'!B32</f>
        <v>-20197</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20197</v>
      </c>
      <c r="S927" s="2948">
        <f>SUM(B928:K928) + SUM(B960:C960)+R927</f>
        <v>207363.413628999</v>
      </c>
      <c r="Z927" s="2751" t="s">
        <v>6466</v>
      </c>
      <c r="AA927" s="2671">
        <v>32</v>
      </c>
    </row>
    <row r="928" spans="1:27" s="652" customFormat="1" ht="13.35" customHeight="1">
      <c r="A928" s="652" t="s">
        <v>1097</v>
      </c>
      <c r="B928" s="3035">
        <f t="shared" ref="B928:K928" si="382">SUM(B920:B927)</f>
        <v>3554.9585199432913</v>
      </c>
      <c r="C928" s="3035">
        <f t="shared" si="382"/>
        <v>22891.31339994329</v>
      </c>
      <c r="D928" s="3035">
        <f t="shared" si="382"/>
        <v>21943.844677543268</v>
      </c>
      <c r="E928" s="3035">
        <f t="shared" si="382"/>
        <v>20908.380359695249</v>
      </c>
      <c r="F928" s="3035">
        <f t="shared" si="382"/>
        <v>19778.629347860377</v>
      </c>
      <c r="G928" s="3035">
        <f t="shared" si="382"/>
        <v>18551.177385929797</v>
      </c>
      <c r="H928" s="3035">
        <f t="shared" si="382"/>
        <v>17222.482877005939</v>
      </c>
      <c r="I928" s="3035">
        <f t="shared" si="382"/>
        <v>15787.872564916332</v>
      </c>
      <c r="J928" s="3035">
        <f t="shared" si="382"/>
        <v>14243.537076208006</v>
      </c>
      <c r="K928" s="3035">
        <f t="shared" si="382"/>
        <v>12583.526318237273</v>
      </c>
      <c r="N928" s="2846"/>
      <c r="O928" s="2846"/>
      <c r="Q928" s="2671">
        <v>13</v>
      </c>
      <c r="R928" s="2948">
        <f>-SUM(B927:K927) - SUM(B959:D959)</f>
        <v>20197</v>
      </c>
      <c r="S928" s="2948">
        <f>SUM(B928:K928) + SUM(B960:D960)+R928</f>
        <v>214226.14351000596</v>
      </c>
      <c r="Z928" s="2751" t="s">
        <v>6466</v>
      </c>
      <c r="AA928" s="2857">
        <v>33</v>
      </c>
    </row>
    <row r="929" spans="1:27" s="652" customFormat="1" ht="13.35" customHeight="1">
      <c r="A929" s="652" t="str">
        <f>IF('Part II-Sources of Funds'!$E$40 = "Neither", "", "DCR Mortgage A")</f>
        <v>DCR Mortgage A</v>
      </c>
      <c r="B929" s="3037">
        <f t="shared" ref="B929:K929" si="383">IF(B921=0,"",-B920/B921)</f>
        <v>1.7848250745363261</v>
      </c>
      <c r="C929" s="3037">
        <f t="shared" si="383"/>
        <v>1.7632118412401701</v>
      </c>
      <c r="D929" s="3037">
        <f t="shared" si="383"/>
        <v>1.7394182217073682</v>
      </c>
      <c r="E929" s="3037">
        <f t="shared" si="383"/>
        <v>1.713414783877506</v>
      </c>
      <c r="F929" s="3037">
        <f t="shared" si="383"/>
        <v>1.6850435404719133</v>
      </c>
      <c r="G929" s="3037">
        <f t="shared" si="383"/>
        <v>1.6542187498624807</v>
      </c>
      <c r="H929" s="3037">
        <f t="shared" si="383"/>
        <v>1.6208514725337104</v>
      </c>
      <c r="I929" s="3037">
        <f t="shared" si="383"/>
        <v>1.5848243498048162</v>
      </c>
      <c r="J929" s="3037">
        <f t="shared" si="383"/>
        <v>1.546041717533589</v>
      </c>
      <c r="K929" s="3037">
        <f t="shared" si="383"/>
        <v>1.504354152063921</v>
      </c>
      <c r="N929" s="2846"/>
      <c r="O929" s="2846"/>
      <c r="Q929" s="2671">
        <v>14</v>
      </c>
      <c r="R929" s="2948">
        <f>-SUM(B927:K927) - SUM(B959:E959)</f>
        <v>20197</v>
      </c>
      <c r="S929" s="2948">
        <f>SUM(B928:K928) + SUM(B960:E960)+R929</f>
        <v>218918.67673543232</v>
      </c>
      <c r="Z929" s="2751" t="s">
        <v>6466</v>
      </c>
      <c r="AA929" s="2671">
        <v>34</v>
      </c>
    </row>
    <row r="930" spans="1:27" s="652" customFormat="1" ht="13.35" customHeight="1">
      <c r="A930" s="652" t="str">
        <f>IF('Part II-Sources of Funds'!$E$40 = "Neither", "", "DCR Mortgage B")</f>
        <v>DCR Mortgage B</v>
      </c>
      <c r="B930" s="3037" t="str">
        <f t="shared" ref="B930:K930" si="384">IF(B922=0,"",-(B920+B921)/B922)</f>
        <v/>
      </c>
      <c r="C930" s="3037" t="str">
        <f t="shared" si="384"/>
        <v/>
      </c>
      <c r="D930" s="3037" t="str">
        <f t="shared" si="384"/>
        <v/>
      </c>
      <c r="E930" s="3037" t="str">
        <f t="shared" si="384"/>
        <v/>
      </c>
      <c r="F930" s="3037" t="str">
        <f t="shared" si="384"/>
        <v/>
      </c>
      <c r="G930" s="3037" t="str">
        <f t="shared" si="384"/>
        <v/>
      </c>
      <c r="H930" s="3037" t="str">
        <f t="shared" si="384"/>
        <v/>
      </c>
      <c r="I930" s="3037" t="str">
        <f t="shared" si="384"/>
        <v/>
      </c>
      <c r="J930" s="3037" t="str">
        <f t="shared" si="384"/>
        <v/>
      </c>
      <c r="K930" s="3037" t="str">
        <f t="shared" si="384"/>
        <v/>
      </c>
      <c r="N930" s="2846"/>
      <c r="O930" s="2846"/>
      <c r="Q930" s="2671">
        <v>15</v>
      </c>
      <c r="R930" s="2948">
        <f>-SUM(B927:K927) - SUM(B959:F959)</f>
        <v>20197</v>
      </c>
      <c r="S930" s="2948">
        <f>SUM(B928:K928) + SUM(B960:F960)+R930</f>
        <v>221299.30506328237</v>
      </c>
      <c r="Z930" s="2751" t="s">
        <v>6466</v>
      </c>
      <c r="AA930" s="2671">
        <v>35</v>
      </c>
    </row>
    <row r="931" spans="1:27" s="652" customFormat="1" ht="13.35" customHeight="1">
      <c r="A931" s="652" t="str">
        <f>IF('Part II-Sources of Funds'!$E$40 = "Neither", "DCR First Mortgage", "DCR Mortgage C")</f>
        <v>DCR Mortgage C</v>
      </c>
      <c r="B931" s="3037" t="str">
        <f t="shared" ref="B931:K931" si="385">IF(B923=0,"",-(B920+B921+B922)/B923)</f>
        <v/>
      </c>
      <c r="C931" s="3037" t="str">
        <f t="shared" si="385"/>
        <v/>
      </c>
      <c r="D931" s="3037" t="str">
        <f t="shared" si="385"/>
        <v/>
      </c>
      <c r="E931" s="3037" t="str">
        <f t="shared" si="385"/>
        <v/>
      </c>
      <c r="F931" s="3037" t="str">
        <f t="shared" si="385"/>
        <v/>
      </c>
      <c r="G931" s="3037" t="str">
        <f t="shared" si="385"/>
        <v/>
      </c>
      <c r="H931" s="3037" t="str">
        <f t="shared" si="385"/>
        <v/>
      </c>
      <c r="I931" s="3037" t="str">
        <f t="shared" si="385"/>
        <v/>
      </c>
      <c r="J931" s="3037" t="str">
        <f t="shared" si="385"/>
        <v/>
      </c>
      <c r="K931" s="3037" t="str">
        <f t="shared" si="385"/>
        <v/>
      </c>
      <c r="N931" s="2846"/>
      <c r="O931" s="2846"/>
      <c r="Q931" s="2671">
        <v>16</v>
      </c>
      <c r="R931" s="2948">
        <f>-SUM(B927:K927) - SUM(B959:G959)</f>
        <v>20197</v>
      </c>
      <c r="S931" s="2948">
        <f>SUM(B928:K928) + SUM(B960:G960)+R931</f>
        <v>221221.42055745388</v>
      </c>
      <c r="Z931" s="2751" t="s">
        <v>6466</v>
      </c>
      <c r="AA931" s="2671">
        <v>36</v>
      </c>
    </row>
    <row r="932" spans="1:27" s="652" customFormat="1" ht="13.35" customHeight="1">
      <c r="A932" s="652" t="s">
        <v>729</v>
      </c>
      <c r="B932" s="3037" t="str">
        <f t="shared" ref="B932:K932" si="386">IF(B924=0,"",-(B920+B921+B922+B923)/B924)</f>
        <v/>
      </c>
      <c r="C932" s="3037" t="str">
        <f t="shared" si="386"/>
        <v/>
      </c>
      <c r="D932" s="3037" t="str">
        <f t="shared" si="386"/>
        <v/>
      </c>
      <c r="E932" s="3037" t="str">
        <f t="shared" si="386"/>
        <v/>
      </c>
      <c r="F932" s="3037" t="str">
        <f t="shared" si="386"/>
        <v/>
      </c>
      <c r="G932" s="3037" t="str">
        <f t="shared" si="386"/>
        <v/>
      </c>
      <c r="H932" s="3037" t="str">
        <f t="shared" si="386"/>
        <v/>
      </c>
      <c r="I932" s="3037" t="str">
        <f t="shared" si="386"/>
        <v/>
      </c>
      <c r="J932" s="3037" t="str">
        <f t="shared" si="386"/>
        <v/>
      </c>
      <c r="K932" s="3037" t="str">
        <f t="shared" si="386"/>
        <v/>
      </c>
      <c r="N932" s="2846"/>
      <c r="O932" s="2846"/>
      <c r="Q932" s="2671">
        <v>17</v>
      </c>
      <c r="R932" s="2948">
        <f>-SUM(B927:K927) - SUM(B959:H959)</f>
        <v>20197</v>
      </c>
      <c r="S932" s="2948">
        <f>SUM(B928:K928) + SUM(B960:H960)+R932</f>
        <v>218532.33822797844</v>
      </c>
      <c r="Z932" s="2751" t="s">
        <v>6466</v>
      </c>
      <c r="AA932" s="2671">
        <v>37</v>
      </c>
    </row>
    <row r="933" spans="1:27" s="652" customFormat="1" ht="13.35" customHeight="1">
      <c r="A933" s="652" t="s">
        <v>3216</v>
      </c>
      <c r="B933" s="3037">
        <f t="shared" ref="B933:K933" si="387">IF(AND(B921=0,B922=0,B923=0,B924=0),"",-B920/(B921+B922+B923+B924))</f>
        <v>1.7848250745363261</v>
      </c>
      <c r="C933" s="3037">
        <f t="shared" si="387"/>
        <v>1.7632118412401701</v>
      </c>
      <c r="D933" s="3037">
        <f t="shared" si="387"/>
        <v>1.7394182217073682</v>
      </c>
      <c r="E933" s="3037">
        <f t="shared" si="387"/>
        <v>1.713414783877506</v>
      </c>
      <c r="F933" s="3037">
        <f t="shared" si="387"/>
        <v>1.6850435404719133</v>
      </c>
      <c r="G933" s="3037">
        <f t="shared" si="387"/>
        <v>1.6542187498624807</v>
      </c>
      <c r="H933" s="3037">
        <f t="shared" si="387"/>
        <v>1.6208514725337104</v>
      </c>
      <c r="I933" s="3037">
        <f t="shared" si="387"/>
        <v>1.5848243498048162</v>
      </c>
      <c r="J933" s="3037">
        <f t="shared" si="387"/>
        <v>1.546041717533589</v>
      </c>
      <c r="K933" s="3037">
        <f t="shared" si="387"/>
        <v>1.504354152063921</v>
      </c>
      <c r="N933" s="2846"/>
      <c r="O933" s="2846"/>
      <c r="Q933" s="2671">
        <v>18</v>
      </c>
      <c r="R933" s="2948">
        <f>-SUM(B927:K927) - SUM(B959:I959)</f>
        <v>20197</v>
      </c>
      <c r="S933" s="2948">
        <f>SUM(B928:K928) + SUM(B960:I960)+R933</f>
        <v>213073.11274308915</v>
      </c>
      <c r="Z933" s="2751" t="s">
        <v>6466</v>
      </c>
      <c r="AA933" s="2671">
        <v>38</v>
      </c>
    </row>
    <row r="934" spans="1:27" s="652" customFormat="1" ht="13.35" customHeight="1">
      <c r="A934" s="652" t="s">
        <v>718</v>
      </c>
      <c r="B934" s="3038">
        <f>'Part VI-Pro Forma'!B39</f>
        <v>1.3113803083474627</v>
      </c>
      <c r="C934" s="3038">
        <f>'Part VI-Pro Forma'!C39</f>
        <v>1.298650670255781</v>
      </c>
      <c r="D934" s="3038">
        <f>'Part VI-Pro Forma'!D39</f>
        <v>1.2860384812258863</v>
      </c>
      <c r="E934" s="3038">
        <f>'Part VI-Pro Forma'!E39</f>
        <v>1.2735565003719314</v>
      </c>
      <c r="F934" s="3038">
        <f>'Part VI-Pro Forma'!F39</f>
        <v>1.2611909413786948</v>
      </c>
      <c r="G934" s="3038">
        <f>'Part VI-Pro Forma'!G39</f>
        <v>1.2489441506995609</v>
      </c>
      <c r="H934" s="3038">
        <f>'Part VI-Pro Forma'!H39</f>
        <v>1.2368180709053416</v>
      </c>
      <c r="I934" s="3038">
        <f>'Part VI-Pro Forma'!I39</f>
        <v>1.224809910312584</v>
      </c>
      <c r="J934" s="3038">
        <f>'Part VI-Pro Forma'!J39</f>
        <v>1.2129214045168033</v>
      </c>
      <c r="K934" s="3038">
        <f>'Part VI-Pro Forma'!K39</f>
        <v>1.2011458718729557</v>
      </c>
      <c r="N934" s="2846"/>
      <c r="O934" s="2846"/>
      <c r="Q934" s="2671">
        <v>19</v>
      </c>
      <c r="R934" s="2948">
        <f>-SUM(B927:K927) - SUM(B959:J959)</f>
        <v>20197</v>
      </c>
      <c r="S934" s="2948">
        <f>SUM(B928:K928) + SUM(B960:J960)+R934</f>
        <v>204678.34902312476</v>
      </c>
      <c r="Z934" s="2751" t="s">
        <v>6466</v>
      </c>
      <c r="AA934" s="2671">
        <v>39</v>
      </c>
    </row>
    <row r="935" spans="1:27" s="652" customFormat="1" ht="13.35" customHeight="1">
      <c r="A935" s="652" t="s">
        <v>2406</v>
      </c>
      <c r="B935" s="3036">
        <f>'Part VI-Pro Forma'!B40</f>
        <v>519131.9412879601</v>
      </c>
      <c r="C935" s="3036">
        <f>'Part VI-Pro Forma'!C40</f>
        <v>512870.88781631523</v>
      </c>
      <c r="D935" s="3036">
        <f>'Part VI-Pro Forma'!D40</f>
        <v>506190.51999818737</v>
      </c>
      <c r="E935" s="3036">
        <f>'Part VI-Pro Forma'!E40</f>
        <v>499062.75557522132</v>
      </c>
      <c r="F935" s="3036">
        <f>'Part VI-Pro Forma'!F40</f>
        <v>491457.63156821142</v>
      </c>
      <c r="G935" s="3036">
        <f>'Part VI-Pro Forma'!G40</f>
        <v>483343.17832174309</v>
      </c>
      <c r="H935" s="3036">
        <f>'Part VI-Pro Forma'!H40</f>
        <v>474685.28511337069</v>
      </c>
      <c r="I935" s="3036">
        <f>'Part VI-Pro Forma'!I40</f>
        <v>465447.55676239333</v>
      </c>
      <c r="J935" s="3036">
        <f>'Part VI-Pro Forma'!J40</f>
        <v>455591.16063545464</v>
      </c>
      <c r="K935" s="3036">
        <f>'Part VI-Pro Forma'!K40</f>
        <v>445074.66340582416</v>
      </c>
      <c r="N935" s="2846"/>
      <c r="O935" s="2846"/>
      <c r="Q935" s="2671">
        <v>20</v>
      </c>
      <c r="R935" s="2948">
        <f>-SUM(B927:K927) - SUM(B959:K959)</f>
        <v>20197</v>
      </c>
      <c r="S935" s="2948">
        <f>SUM(B928:K928) + SUM(B960:K960)+R935</f>
        <v>193177.00652033457</v>
      </c>
      <c r="Z935" s="2751" t="s">
        <v>6466</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6466</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6466</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6466</v>
      </c>
      <c r="AA938" s="2671">
        <v>43</v>
      </c>
    </row>
    <row r="939" spans="1:27" s="652" customFormat="1" ht="13.35" customHeight="1">
      <c r="A939" s="652" t="s">
        <v>3364</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6466</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88">B941+1</f>
        <v>12</v>
      </c>
      <c r="D941" s="3035">
        <f t="shared" si="388"/>
        <v>13</v>
      </c>
      <c r="E941" s="3035">
        <f t="shared" si="388"/>
        <v>14</v>
      </c>
      <c r="F941" s="3035">
        <f t="shared" si="388"/>
        <v>15</v>
      </c>
      <c r="G941" s="3035">
        <f t="shared" si="388"/>
        <v>16</v>
      </c>
      <c r="H941" s="3035">
        <f t="shared" si="388"/>
        <v>17</v>
      </c>
      <c r="I941" s="3035">
        <f t="shared" si="388"/>
        <v>18</v>
      </c>
      <c r="J941" s="3035">
        <f t="shared" si="388"/>
        <v>19</v>
      </c>
      <c r="K941" s="3035">
        <f t="shared" si="388"/>
        <v>20</v>
      </c>
      <c r="N941" s="2755" t="s">
        <v>2410</v>
      </c>
      <c r="O941" s="2755"/>
      <c r="Z941" s="2751"/>
      <c r="AA941" s="2671">
        <v>46</v>
      </c>
    </row>
    <row r="942" spans="1:27" s="652" customFormat="1" ht="13.35" customHeight="1">
      <c r="A942" s="652" t="s">
        <v>2216</v>
      </c>
      <c r="B942" s="3035">
        <f>'Part VI-Pro Forma'!B47</f>
        <v>384641.49928514566</v>
      </c>
      <c r="C942" s="3035">
        <f>'Part VI-Pro Forma'!C47</f>
        <v>392334.32927084848</v>
      </c>
      <c r="D942" s="3035">
        <f>'Part VI-Pro Forma'!D47</f>
        <v>400181.01585626556</v>
      </c>
      <c r="E942" s="3035">
        <f>'Part VI-Pro Forma'!E47</f>
        <v>408184.63617339084</v>
      </c>
      <c r="F942" s="3035">
        <f>'Part VI-Pro Forma'!F47</f>
        <v>416348.32889685867</v>
      </c>
      <c r="G942" s="3035">
        <f>'Part VI-Pro Forma'!G47</f>
        <v>424675.29547479574</v>
      </c>
      <c r="H942" s="3035">
        <f>'Part VI-Pro Forma'!H47</f>
        <v>433168.80138429173</v>
      </c>
      <c r="I942" s="3035">
        <f>'Part VI-Pro Forma'!I47</f>
        <v>441832.17741197761</v>
      </c>
      <c r="J942" s="3035">
        <f>'Part VI-Pro Forma'!J47</f>
        <v>450668.8209602171</v>
      </c>
      <c r="K942" s="3035">
        <f>'Part VI-Pro Forma'!K47</f>
        <v>459682.19737942144</v>
      </c>
      <c r="N942" s="2846"/>
      <c r="O942" s="2846"/>
      <c r="Z942" s="2751" t="s">
        <v>6467</v>
      </c>
      <c r="AA942" s="2857">
        <v>47</v>
      </c>
    </row>
    <row r="943" spans="1:27" s="652" customFormat="1" ht="13.35" customHeight="1">
      <c r="A943" s="652" t="s">
        <v>953</v>
      </c>
      <c r="B943" s="3035">
        <f>'Part VI-Pro Forma'!B48</f>
        <v>7692.8299857029133</v>
      </c>
      <c r="C943" s="3035">
        <f>'Part VI-Pro Forma'!C48</f>
        <v>7846.68658541697</v>
      </c>
      <c r="D943" s="3035">
        <f>'Part VI-Pro Forma'!D48</f>
        <v>8003.620317125311</v>
      </c>
      <c r="E943" s="3035">
        <f>'Part VI-Pro Forma'!E48</f>
        <v>8163.6927234678169</v>
      </c>
      <c r="F943" s="3035">
        <f>'Part VI-Pro Forma'!F48</f>
        <v>8326.9665779371735</v>
      </c>
      <c r="G943" s="3035">
        <f>'Part VI-Pro Forma'!G48</f>
        <v>8493.5059094959142</v>
      </c>
      <c r="H943" s="3035">
        <f>'Part VI-Pro Forma'!H48</f>
        <v>8663.3760276858338</v>
      </c>
      <c r="I943" s="3035">
        <f>'Part VI-Pro Forma'!I48</f>
        <v>8836.6435482395518</v>
      </c>
      <c r="J943" s="3035">
        <f>'Part VI-Pro Forma'!J48</f>
        <v>9013.3764192043418</v>
      </c>
      <c r="K943" s="3035">
        <f>'Part VI-Pro Forma'!K48</f>
        <v>9193.643947588429</v>
      </c>
      <c r="N943" s="2846"/>
      <c r="O943" s="2846"/>
      <c r="Z943" s="2751" t="s">
        <v>6467</v>
      </c>
      <c r="AA943" s="2671">
        <v>48</v>
      </c>
    </row>
    <row r="944" spans="1:27" s="652" customFormat="1" ht="13.35" customHeight="1">
      <c r="A944" s="652" t="s">
        <v>2217</v>
      </c>
      <c r="B944" s="3035">
        <f>'Part VI-Pro Forma'!B49</f>
        <v>-27463.403048959404</v>
      </c>
      <c r="C944" s="3035">
        <f>'Part VI-Pro Forma'!C49</f>
        <v>-28012.671109938583</v>
      </c>
      <c r="D944" s="3035">
        <f>'Part VI-Pro Forma'!D49</f>
        <v>-28572.92453213736</v>
      </c>
      <c r="E944" s="3035">
        <f>'Part VI-Pro Forma'!E49</f>
        <v>-29144.383022780108</v>
      </c>
      <c r="F944" s="3035">
        <f>'Part VI-Pro Forma'!F49</f>
        <v>-29727.270683235714</v>
      </c>
      <c r="G944" s="3035">
        <f>'Part VI-Pro Forma'!G49</f>
        <v>-30321.81609690042</v>
      </c>
      <c r="H944" s="3035">
        <f>'Part VI-Pro Forma'!H49</f>
        <v>-30928.25241883843</v>
      </c>
      <c r="I944" s="3035">
        <f>'Part VI-Pro Forma'!I49</f>
        <v>-31546.817467215205</v>
      </c>
      <c r="J944" s="3035">
        <f>'Part VI-Pro Forma'!J49</f>
        <v>-32177.753816559503</v>
      </c>
      <c r="K944" s="3035">
        <f>'Part VI-Pro Forma'!K49</f>
        <v>-32821.308892890695</v>
      </c>
      <c r="N944" s="2846"/>
      <c r="O944" s="2846"/>
      <c r="Z944" s="2751" t="s">
        <v>6467</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6467</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6467</v>
      </c>
      <c r="AA946" s="2671">
        <v>51</v>
      </c>
    </row>
    <row r="947" spans="1:27" s="652" customFormat="1" ht="13.35" customHeight="1">
      <c r="A947" s="652" t="s">
        <v>3841</v>
      </c>
      <c r="B947" s="3035">
        <f t="shared" ref="B947:K947" si="389">SUM(B942:B946)</f>
        <v>364870.92622188921</v>
      </c>
      <c r="C947" s="3035">
        <f t="shared" si="389"/>
        <v>372168.34474632685</v>
      </c>
      <c r="D947" s="3035">
        <f t="shared" si="389"/>
        <v>379611.7116412535</v>
      </c>
      <c r="E947" s="3035">
        <f t="shared" si="389"/>
        <v>387203.94587407855</v>
      </c>
      <c r="F947" s="3035">
        <f t="shared" si="389"/>
        <v>394948.02479156014</v>
      </c>
      <c r="G947" s="3035">
        <f t="shared" si="389"/>
        <v>402846.98528739123</v>
      </c>
      <c r="H947" s="3035">
        <f t="shared" si="389"/>
        <v>410903.92499313911</v>
      </c>
      <c r="I947" s="3035">
        <f t="shared" si="389"/>
        <v>419122.00349300198</v>
      </c>
      <c r="J947" s="3035">
        <f t="shared" si="389"/>
        <v>427504.44356286194</v>
      </c>
      <c r="K947" s="3035">
        <f t="shared" si="389"/>
        <v>436054.5324341192</v>
      </c>
      <c r="N947" s="2846"/>
      <c r="O947" s="2846"/>
      <c r="Z947" s="2751" t="s">
        <v>6467</v>
      </c>
      <c r="AA947" s="2671">
        <v>52</v>
      </c>
    </row>
    <row r="948" spans="1:27" s="652" customFormat="1" ht="13.35" customHeight="1">
      <c r="A948" s="652" t="s">
        <v>572</v>
      </c>
      <c r="B948" s="3035">
        <f>'Part VI-Pro Forma'!B53</f>
        <v>-261618.85765054086</v>
      </c>
      <c r="C948" s="3035">
        <f>'Part VI-Pro Forma'!C53</f>
        <v>-269467.42338005709</v>
      </c>
      <c r="D948" s="3035">
        <f>'Part VI-Pro Forma'!D53</f>
        <v>-277551.44608145877</v>
      </c>
      <c r="E948" s="3035">
        <f>'Part VI-Pro Forma'!E53</f>
        <v>-285877.98946390249</v>
      </c>
      <c r="F948" s="3035">
        <f>'Part VI-Pro Forma'!F53</f>
        <v>-294454.3291478196</v>
      </c>
      <c r="G948" s="3035">
        <f>'Part VI-Pro Forma'!G53</f>
        <v>-303287.95902225422</v>
      </c>
      <c r="H948" s="3035">
        <f>'Part VI-Pro Forma'!H53</f>
        <v>-312386.59779292176</v>
      </c>
      <c r="I948" s="3035">
        <f>'Part VI-Pro Forma'!I53</f>
        <v>-321758.19572670944</v>
      </c>
      <c r="J948" s="3035">
        <f>'Part VI-Pro Forma'!J53</f>
        <v>-331410.94159851072</v>
      </c>
      <c r="K948" s="3035">
        <f>'Part VI-Pro Forma'!K53</f>
        <v>-341353.26984646602</v>
      </c>
      <c r="N948" s="2846"/>
      <c r="O948" s="2846"/>
      <c r="Z948" s="2751" t="s">
        <v>6467</v>
      </c>
      <c r="AA948" s="2671">
        <v>53</v>
      </c>
    </row>
    <row r="949" spans="1:27" s="652" customFormat="1" ht="13.35" customHeight="1">
      <c r="A949" s="652" t="s">
        <v>1051</v>
      </c>
      <c r="B949" s="3035">
        <f>'Part VI-Pro Forma'!B54</f>
        <v>-29674</v>
      </c>
      <c r="C949" s="3035">
        <f>'Part VI-Pro Forma'!C54</f>
        <v>-30564</v>
      </c>
      <c r="D949" s="3035">
        <f>'Part VI-Pro Forma'!D54</f>
        <v>-31481</v>
      </c>
      <c r="E949" s="3035">
        <f>'Part VI-Pro Forma'!E54</f>
        <v>-32425</v>
      </c>
      <c r="F949" s="3035">
        <f>'Part VI-Pro Forma'!F54</f>
        <v>-33398</v>
      </c>
      <c r="G949" s="3035">
        <f>'Part VI-Pro Forma'!G54</f>
        <v>-34400</v>
      </c>
      <c r="H949" s="3035">
        <f>'Part VI-Pro Forma'!H54</f>
        <v>-35432</v>
      </c>
      <c r="I949" s="3035">
        <f>'Part VI-Pro Forma'!I54</f>
        <v>-36495</v>
      </c>
      <c r="J949" s="3035">
        <f>'Part VI-Pro Forma'!J54</f>
        <v>-37590</v>
      </c>
      <c r="K949" s="3035">
        <f>'Part VI-Pro Forma'!K54</f>
        <v>-38717</v>
      </c>
      <c r="N949" s="2846"/>
      <c r="O949" s="2846"/>
      <c r="Z949" s="2751" t="s">
        <v>6467</v>
      </c>
      <c r="AA949" s="2671">
        <v>54</v>
      </c>
    </row>
    <row r="950" spans="1:27" s="652" customFormat="1" ht="13.35" customHeight="1">
      <c r="A950" s="652" t="s">
        <v>1129</v>
      </c>
      <c r="B950" s="3035">
        <f>'Part VI-Pro Forma'!B55</f>
        <v>-15455.038362457401</v>
      </c>
      <c r="C950" s="3035">
        <f>'Part VI-Pro Forma'!C55</f>
        <v>-15918.689513331123</v>
      </c>
      <c r="D950" s="3035">
        <f>'Part VI-Pro Forma'!D55</f>
        <v>-16396.250198731053</v>
      </c>
      <c r="E950" s="3035">
        <f>'Part VI-Pro Forma'!E55</f>
        <v>-16888.137704692985</v>
      </c>
      <c r="F950" s="3035">
        <f>'Part VI-Pro Forma'!F55</f>
        <v>-17394.781835833775</v>
      </c>
      <c r="G950" s="3035">
        <f>'Part VI-Pro Forma'!G55</f>
        <v>-17916.625290908793</v>
      </c>
      <c r="H950" s="3035">
        <f>'Part VI-Pro Forma'!H55</f>
        <v>-18454.124049636051</v>
      </c>
      <c r="I950" s="3035">
        <f>'Part VI-Pro Forma'!I55</f>
        <v>-19007.747771125134</v>
      </c>
      <c r="J950" s="3035">
        <f>'Part VI-Pro Forma'!J55</f>
        <v>-19577.980204258889</v>
      </c>
      <c r="K950" s="3035">
        <f>'Part VI-Pro Forma'!K55</f>
        <v>-20165.319610386654</v>
      </c>
      <c r="N950" s="2846"/>
      <c r="O950" s="2846"/>
      <c r="Q950" s="2671">
        <v>10</v>
      </c>
      <c r="R950" s="2948">
        <f>-SUM(B956:K956)</f>
        <v>0</v>
      </c>
      <c r="S950" s="2948">
        <f>SUM(B957:K957)+R950</f>
        <v>0</v>
      </c>
      <c r="Z950" s="2751" t="s">
        <v>6467</v>
      </c>
      <c r="AA950" s="2671">
        <v>55</v>
      </c>
    </row>
    <row r="951" spans="1:27" s="652" customFormat="1" ht="13.35" customHeight="1">
      <c r="A951" s="652" t="s">
        <v>3840</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6467</v>
      </c>
      <c r="AA951" s="2671">
        <v>56</v>
      </c>
    </row>
    <row r="952" spans="1:27" s="652" customFormat="1" ht="13.35" customHeight="1">
      <c r="A952" s="652" t="s">
        <v>1130</v>
      </c>
      <c r="B952" s="3035">
        <f t="shared" ref="B952:K952" si="390">SUM(B947:B951)</f>
        <v>58123.030208890952</v>
      </c>
      <c r="C952" s="3035">
        <f t="shared" si="390"/>
        <v>56218.231852938639</v>
      </c>
      <c r="D952" s="3035">
        <f t="shared" si="390"/>
        <v>54183.015361063677</v>
      </c>
      <c r="E952" s="3035">
        <f t="shared" si="390"/>
        <v>52012.818705483078</v>
      </c>
      <c r="F952" s="3035">
        <f t="shared" si="390"/>
        <v>49700.913807906756</v>
      </c>
      <c r="G952" s="3035">
        <f t="shared" si="390"/>
        <v>47242.400974228221</v>
      </c>
      <c r="H952" s="3035">
        <f t="shared" si="390"/>
        <v>44631.203150581292</v>
      </c>
      <c r="I952" s="3035">
        <f t="shared" si="390"/>
        <v>41861.059995167401</v>
      </c>
      <c r="J952" s="3035">
        <f t="shared" si="390"/>
        <v>38925.521760092335</v>
      </c>
      <c r="K952" s="3035">
        <f t="shared" si="390"/>
        <v>35818.942977266532</v>
      </c>
      <c r="N952" s="2846"/>
      <c r="O952" s="2846"/>
      <c r="Z952" s="2751" t="s">
        <v>6467</v>
      </c>
      <c r="AA952" s="2671">
        <v>57</v>
      </c>
    </row>
    <row r="953" spans="1:27" s="652" customFormat="1" ht="13.35" customHeight="1">
      <c r="A953" s="652" t="str">
        <f>$A921</f>
        <v>Mortgage A</v>
      </c>
      <c r="B953" s="3036">
        <f>'Part VI-Pro Forma'!B58</f>
        <v>-39820.285480056715</v>
      </c>
      <c r="C953" s="3036">
        <f>'Part VI-Pro Forma'!C58</f>
        <v>-39820.285480056715</v>
      </c>
      <c r="D953" s="3036">
        <f>'Part VI-Pro Forma'!D58</f>
        <v>-39820.285480056715</v>
      </c>
      <c r="E953" s="3036">
        <f>'Part VI-Pro Forma'!E58</f>
        <v>-39820.285480056715</v>
      </c>
      <c r="F953" s="3036">
        <f>'Part VI-Pro Forma'!F58</f>
        <v>-39820.285480056715</v>
      </c>
      <c r="G953" s="3036">
        <f>'Part VI-Pro Forma'!G58</f>
        <v>-39820.285480056715</v>
      </c>
      <c r="H953" s="3036">
        <f>'Part VI-Pro Forma'!H58</f>
        <v>-39820.285480056715</v>
      </c>
      <c r="I953" s="3036">
        <f>'Part VI-Pro Forma'!I58</f>
        <v>-39820.285480056715</v>
      </c>
      <c r="J953" s="3036">
        <f>'Part VI-Pro Forma'!J58</f>
        <v>-39820.285480056715</v>
      </c>
      <c r="K953" s="3036">
        <f>'Part VI-Pro Forma'!K58</f>
        <v>-39820.285480056715</v>
      </c>
      <c r="N953" s="2846"/>
      <c r="O953" s="2846"/>
      <c r="Z953" s="2751" t="s">
        <v>6467</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6467</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6467</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6467</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6467</v>
      </c>
      <c r="AA957" s="2671">
        <v>62</v>
      </c>
    </row>
    <row r="958" spans="1:27" s="652" customFormat="1" ht="13.35" customHeight="1">
      <c r="A958" s="652" t="s">
        <v>1096</v>
      </c>
      <c r="B958" s="3036">
        <f>'Part VI-Pro Forma'!B63</f>
        <v>-7500</v>
      </c>
      <c r="C958" s="3036">
        <f>'Part VI-Pro Forma'!C63</f>
        <v>-7500</v>
      </c>
      <c r="D958" s="3036">
        <f>'Part VI-Pro Forma'!D63</f>
        <v>-7500</v>
      </c>
      <c r="E958" s="3036">
        <f>'Part VI-Pro Forma'!E63</f>
        <v>-7500</v>
      </c>
      <c r="F958" s="3036">
        <f>'Part VI-Pro Forma'!F63</f>
        <v>-7500</v>
      </c>
      <c r="G958" s="3036">
        <f>'Part VI-Pro Forma'!G63</f>
        <v>-7500</v>
      </c>
      <c r="H958" s="3036">
        <f>'Part VI-Pro Forma'!H63</f>
        <v>-7500</v>
      </c>
      <c r="I958" s="3036">
        <f>'Part VI-Pro Forma'!I63</f>
        <v>-7500</v>
      </c>
      <c r="J958" s="3036">
        <f>'Part VI-Pro Forma'!J63</f>
        <v>-7500</v>
      </c>
      <c r="K958" s="3036">
        <f>'Part VI-Pro Forma'!K63</f>
        <v>-7500</v>
      </c>
      <c r="N958" s="2846"/>
      <c r="O958" s="2846"/>
      <c r="Z958" s="2751" t="s">
        <v>6467</v>
      </c>
      <c r="AA958" s="2671">
        <v>63</v>
      </c>
    </row>
    <row r="959" spans="1:27" s="652" customFormat="1" ht="13.35" customHeight="1">
      <c r="A959" s="652" t="s">
        <v>3363</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6467</v>
      </c>
      <c r="AA959" s="2671">
        <v>64</v>
      </c>
    </row>
    <row r="960" spans="1:27" s="652" customFormat="1" ht="13.35" customHeight="1">
      <c r="A960" s="652" t="s">
        <v>1097</v>
      </c>
      <c r="B960" s="3035">
        <f t="shared" ref="B960:K960" si="391">SUM(B952:B959)</f>
        <v>10802.744728834237</v>
      </c>
      <c r="C960" s="3035">
        <f t="shared" si="391"/>
        <v>8897.9463728819246</v>
      </c>
      <c r="D960" s="3035">
        <f t="shared" si="391"/>
        <v>6862.7298810069624</v>
      </c>
      <c r="E960" s="3035">
        <f t="shared" si="391"/>
        <v>4692.5332254263631</v>
      </c>
      <c r="F960" s="3035">
        <f t="shared" si="391"/>
        <v>2380.6283278500414</v>
      </c>
      <c r="G960" s="3035">
        <f t="shared" si="391"/>
        <v>-77.884505828493275</v>
      </c>
      <c r="H960" s="3035">
        <f t="shared" si="391"/>
        <v>-2689.0823294754227</v>
      </c>
      <c r="I960" s="3035">
        <f t="shared" si="391"/>
        <v>-5459.2254848893135</v>
      </c>
      <c r="J960" s="3035">
        <f t="shared" si="391"/>
        <v>-8394.7637199643796</v>
      </c>
      <c r="K960" s="3035">
        <f t="shared" si="391"/>
        <v>-11501.342502790183</v>
      </c>
      <c r="N960" s="2846"/>
      <c r="O960" s="2846"/>
      <c r="Z960" s="2751" t="s">
        <v>6467</v>
      </c>
      <c r="AA960" s="2671">
        <v>65</v>
      </c>
    </row>
    <row r="961" spans="1:27" s="652" customFormat="1" ht="13.35" customHeight="1">
      <c r="A961" s="652" t="str">
        <f>$A929</f>
        <v>DCR Mortgage A</v>
      </c>
      <c r="B961" s="3037">
        <f t="shared" ref="B961:K961" si="392">IF(B953=0,"",-B952/B953)</f>
        <v>1.4596336894169391</v>
      </c>
      <c r="C961" s="3037">
        <f t="shared" si="392"/>
        <v>1.411798814980735</v>
      </c>
      <c r="D961" s="3037">
        <f t="shared" si="392"/>
        <v>1.3606887722640835</v>
      </c>
      <c r="E961" s="3037">
        <f t="shared" si="392"/>
        <v>1.3061889958456672</v>
      </c>
      <c r="F961" s="3037">
        <f t="shared" si="392"/>
        <v>1.2481305246492664</v>
      </c>
      <c r="G961" s="3037">
        <f t="shared" si="392"/>
        <v>1.1863903134970928</v>
      </c>
      <c r="H961" s="3037">
        <f t="shared" si="392"/>
        <v>1.1208157503776319</v>
      </c>
      <c r="I961" s="3037">
        <f t="shared" si="392"/>
        <v>1.051249620400958</v>
      </c>
      <c r="J961" s="3037">
        <f t="shared" si="392"/>
        <v>0.97752995215434846</v>
      </c>
      <c r="K961" s="3037">
        <f t="shared" si="392"/>
        <v>0.89951497196587948</v>
      </c>
      <c r="N961" s="2846"/>
      <c r="O961" s="2846"/>
      <c r="Z961" s="2751" t="s">
        <v>6467</v>
      </c>
      <c r="AA961" s="2671">
        <v>66</v>
      </c>
    </row>
    <row r="962" spans="1:27" s="652" customFormat="1" ht="13.35" customHeight="1">
      <c r="A962" s="652" t="str">
        <f>$A930</f>
        <v>DCR Mortgage B</v>
      </c>
      <c r="B962" s="3037" t="str">
        <f t="shared" ref="B962:K962" si="393">IF(B954=0,"",-(B952+B953)/B954)</f>
        <v/>
      </c>
      <c r="C962" s="3037" t="str">
        <f t="shared" si="393"/>
        <v/>
      </c>
      <c r="D962" s="3037" t="str">
        <f t="shared" si="393"/>
        <v/>
      </c>
      <c r="E962" s="3037" t="str">
        <f t="shared" si="393"/>
        <v/>
      </c>
      <c r="F962" s="3037" t="str">
        <f t="shared" si="393"/>
        <v/>
      </c>
      <c r="G962" s="3037" t="str">
        <f t="shared" si="393"/>
        <v/>
      </c>
      <c r="H962" s="3037" t="str">
        <f t="shared" si="393"/>
        <v/>
      </c>
      <c r="I962" s="3037" t="str">
        <f t="shared" si="393"/>
        <v/>
      </c>
      <c r="J962" s="3037" t="str">
        <f t="shared" si="393"/>
        <v/>
      </c>
      <c r="K962" s="3037" t="str">
        <f t="shared" si="393"/>
        <v/>
      </c>
      <c r="N962" s="2846"/>
      <c r="O962" s="2846"/>
      <c r="Z962" s="2751" t="s">
        <v>6467</v>
      </c>
      <c r="AA962" s="2671">
        <v>67</v>
      </c>
    </row>
    <row r="963" spans="1:27" s="652" customFormat="1" ht="13.35" customHeight="1">
      <c r="A963" s="652" t="str">
        <f>$A931</f>
        <v>DCR Mortgage C</v>
      </c>
      <c r="B963" s="3037" t="str">
        <f t="shared" ref="B963:K963" si="394">IF(B955=0,"",-(B952+B953+B954)/B955)</f>
        <v/>
      </c>
      <c r="C963" s="3037" t="str">
        <f t="shared" si="394"/>
        <v/>
      </c>
      <c r="D963" s="3037" t="str">
        <f t="shared" si="394"/>
        <v/>
      </c>
      <c r="E963" s="3037" t="str">
        <f t="shared" si="394"/>
        <v/>
      </c>
      <c r="F963" s="3037" t="str">
        <f t="shared" si="394"/>
        <v/>
      </c>
      <c r="G963" s="3037" t="str">
        <f t="shared" si="394"/>
        <v/>
      </c>
      <c r="H963" s="3037" t="str">
        <f t="shared" si="394"/>
        <v/>
      </c>
      <c r="I963" s="3037" t="str">
        <f t="shared" si="394"/>
        <v/>
      </c>
      <c r="J963" s="3037" t="str">
        <f t="shared" si="394"/>
        <v/>
      </c>
      <c r="K963" s="3037" t="str">
        <f t="shared" si="394"/>
        <v/>
      </c>
      <c r="N963" s="2846"/>
      <c r="O963" s="2846"/>
      <c r="Z963" s="2751" t="s">
        <v>6467</v>
      </c>
      <c r="AA963" s="2857">
        <v>68</v>
      </c>
    </row>
    <row r="964" spans="1:27" s="652" customFormat="1" ht="13.35" customHeight="1">
      <c r="A964" s="652" t="str">
        <f>$A932</f>
        <v>DCR Other Source</v>
      </c>
      <c r="B964" s="3037" t="str">
        <f t="shared" ref="B964:K964" si="395">IF(B956=0,"",-(B952+B953+B954+B955)/B956)</f>
        <v/>
      </c>
      <c r="C964" s="3037" t="str">
        <f t="shared" si="395"/>
        <v/>
      </c>
      <c r="D964" s="3037" t="str">
        <f t="shared" si="395"/>
        <v/>
      </c>
      <c r="E964" s="3037" t="str">
        <f t="shared" si="395"/>
        <v/>
      </c>
      <c r="F964" s="3037" t="str">
        <f t="shared" si="395"/>
        <v/>
      </c>
      <c r="G964" s="3037" t="str">
        <f t="shared" si="395"/>
        <v/>
      </c>
      <c r="H964" s="3037" t="str">
        <f t="shared" si="395"/>
        <v/>
      </c>
      <c r="I964" s="3037" t="str">
        <f t="shared" si="395"/>
        <v/>
      </c>
      <c r="J964" s="3037" t="str">
        <f t="shared" si="395"/>
        <v/>
      </c>
      <c r="K964" s="3037" t="str">
        <f t="shared" si="395"/>
        <v/>
      </c>
      <c r="N964" s="2846"/>
      <c r="O964" s="2846"/>
      <c r="Z964" s="2751" t="s">
        <v>6467</v>
      </c>
      <c r="AA964" s="2671">
        <v>69</v>
      </c>
    </row>
    <row r="965" spans="1:27" s="652" customFormat="1" ht="13.35" customHeight="1">
      <c r="A965" s="652" t="s">
        <v>3216</v>
      </c>
      <c r="B965" s="3037">
        <f t="shared" ref="B965:K965" si="396">IF(AND(B953=0,B954=0,B955=0,B956=0),"",-B952/(B953+B954+B955+B956))</f>
        <v>1.4596336894169391</v>
      </c>
      <c r="C965" s="3037">
        <f t="shared" si="396"/>
        <v>1.411798814980735</v>
      </c>
      <c r="D965" s="3037">
        <f t="shared" si="396"/>
        <v>1.3606887722640835</v>
      </c>
      <c r="E965" s="3037">
        <f t="shared" si="396"/>
        <v>1.3061889958456672</v>
      </c>
      <c r="F965" s="3037">
        <f t="shared" si="396"/>
        <v>1.2481305246492664</v>
      </c>
      <c r="G965" s="3037">
        <f t="shared" si="396"/>
        <v>1.1863903134970928</v>
      </c>
      <c r="H965" s="3037">
        <f t="shared" si="396"/>
        <v>1.1208157503776319</v>
      </c>
      <c r="I965" s="3037">
        <f t="shared" si="396"/>
        <v>1.051249620400958</v>
      </c>
      <c r="J965" s="3037">
        <f t="shared" si="396"/>
        <v>0.97752995215434846</v>
      </c>
      <c r="K965" s="3037">
        <f t="shared" si="396"/>
        <v>0.89951497196587948</v>
      </c>
      <c r="N965" s="2846"/>
      <c r="O965" s="2846"/>
      <c r="Z965" s="2751" t="s">
        <v>6467</v>
      </c>
      <c r="AA965" s="2671">
        <v>70</v>
      </c>
    </row>
    <row r="966" spans="1:27" s="652" customFormat="1" ht="13.35" customHeight="1">
      <c r="A966" s="652" t="s">
        <v>718</v>
      </c>
      <c r="B966" s="3038">
        <f>'Part VI-Pro Forma'!B71</f>
        <v>1.1894814307265142</v>
      </c>
      <c r="C966" s="3038">
        <f>'Part VI-Pro Forma'!C71</f>
        <v>1.1779338875308727</v>
      </c>
      <c r="D966" s="3038">
        <f>'Part VI-Pro Forma'!D71</f>
        <v>1.1664973494359969</v>
      </c>
      <c r="E966" s="3038">
        <f>'Part VI-Pro Forma'!E71</f>
        <v>1.1551736143639673</v>
      </c>
      <c r="F966" s="3038">
        <f>'Part VI-Pro Forma'!F71</f>
        <v>1.1439575081926172</v>
      </c>
      <c r="G966" s="3038">
        <f>'Part VI-Pro Forma'!G71</f>
        <v>1.1328509334756613</v>
      </c>
      <c r="H966" s="3038">
        <f>'Part VI-Pro Forma'!H71</f>
        <v>1.1218523807234708</v>
      </c>
      <c r="I966" s="3038">
        <f>'Part VI-Pro Forma'!I71</f>
        <v>1.1109604922445615</v>
      </c>
      <c r="J966" s="3038">
        <f>'Part VI-Pro Forma'!J71</f>
        <v>1.1001740433564993</v>
      </c>
      <c r="K966" s="3038">
        <f>'Part VI-Pro Forma'!K71</f>
        <v>1.0894946474547036</v>
      </c>
      <c r="N966" s="2846"/>
      <c r="O966" s="2846"/>
      <c r="Z966" s="2751" t="s">
        <v>6467</v>
      </c>
      <c r="AA966" s="2671">
        <v>71</v>
      </c>
    </row>
    <row r="967" spans="1:27" s="652" customFormat="1" ht="13.35" customHeight="1">
      <c r="A967" s="652" t="s">
        <v>2406</v>
      </c>
      <c r="B967" s="3036">
        <f>'Part VI-Pro Forma'!B72</f>
        <v>433853.85688014573</v>
      </c>
      <c r="C967" s="3036">
        <f>'Part VI-Pro Forma'!C72</f>
        <v>421881.57216048037</v>
      </c>
      <c r="D967" s="3036">
        <f>'Part VI-Pro Forma'!D72</f>
        <v>409107.48136043729</v>
      </c>
      <c r="E967" s="3036">
        <f>'Part VI-Pro Forma'!E72</f>
        <v>395477.88604186667</v>
      </c>
      <c r="F967" s="3036">
        <f>'Part VI-Pro Forma'!F72</f>
        <v>380935.49148276617</v>
      </c>
      <c r="G967" s="3036">
        <f>'Part VI-Pro Forma'!G72</f>
        <v>365419.16582749103</v>
      </c>
      <c r="H967" s="3036">
        <f>'Part VI-Pro Forma'!H72</f>
        <v>348863.68310680753</v>
      </c>
      <c r="I967" s="3036">
        <f>'Part VI-Pro Forma'!I72</f>
        <v>331199.44904752373</v>
      </c>
      <c r="J967" s="3036">
        <f>'Part VI-Pro Forma'!J72</f>
        <v>312352.20851908333</v>
      </c>
      <c r="K967" s="3036">
        <f>'Part VI-Pro Forma'!K72</f>
        <v>292242.73338731588</v>
      </c>
      <c r="N967" s="2846"/>
      <c r="O967" s="2846"/>
      <c r="Z967" s="2751" t="s">
        <v>6467</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6467</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6467</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6467</v>
      </c>
      <c r="AA970" s="2671">
        <v>75</v>
      </c>
    </row>
    <row r="971" spans="1:27" s="652" customFormat="1" ht="13.35" customHeight="1">
      <c r="A971" s="652" t="s">
        <v>3364</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6467</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397">B973+1</f>
        <v>22</v>
      </c>
      <c r="D973" s="3035">
        <f t="shared" si="397"/>
        <v>23</v>
      </c>
      <c r="E973" s="3035">
        <f t="shared" si="397"/>
        <v>24</v>
      </c>
      <c r="F973" s="3035">
        <f t="shared" si="397"/>
        <v>25</v>
      </c>
      <c r="G973" s="3035">
        <f t="shared" si="397"/>
        <v>26</v>
      </c>
      <c r="H973" s="3035">
        <f t="shared" si="397"/>
        <v>27</v>
      </c>
      <c r="I973" s="3035">
        <f t="shared" si="397"/>
        <v>28</v>
      </c>
      <c r="J973" s="3035">
        <f t="shared" si="397"/>
        <v>29</v>
      </c>
      <c r="K973" s="3035">
        <f t="shared" si="397"/>
        <v>30</v>
      </c>
      <c r="N973" s="2755" t="s">
        <v>2411</v>
      </c>
      <c r="O973" s="2755"/>
      <c r="Z973" s="2751"/>
      <c r="AA973" s="2671">
        <v>78</v>
      </c>
    </row>
    <row r="974" spans="1:27" s="652" customFormat="1" ht="13.35" customHeight="1">
      <c r="A974" s="652" t="s">
        <v>2216</v>
      </c>
      <c r="B974" s="3035">
        <f>'Part VI-Pro Forma'!B79</f>
        <v>468875.8413270099</v>
      </c>
      <c r="C974" s="3035">
        <f>'Part VI-Pro Forma'!C79</f>
        <v>478253.35815355007</v>
      </c>
      <c r="D974" s="3035">
        <f>'Part VI-Pro Forma'!D79</f>
        <v>487818.42531662108</v>
      </c>
      <c r="E974" s="3035">
        <f>'Part VI-Pro Forma'!E79</f>
        <v>497574.79382295342</v>
      </c>
      <c r="F974" s="3035">
        <f>'Part VI-Pro Forma'!F79</f>
        <v>507526.28969941253</v>
      </c>
      <c r="G974" s="3035">
        <f>'Part VI-Pro Forma'!G79</f>
        <v>517676.81549340073</v>
      </c>
      <c r="H974" s="3035">
        <f>'Part VI-Pro Forma'!H79</f>
        <v>528030.35180326889</v>
      </c>
      <c r="I974" s="3035">
        <f>'Part VI-Pro Forma'!I79</f>
        <v>538590.95883933408</v>
      </c>
      <c r="J974" s="3035">
        <f>'Part VI-Pro Forma'!J79</f>
        <v>549362.77801612089</v>
      </c>
      <c r="K974" s="3035">
        <f>'Part VI-Pro Forma'!K79</f>
        <v>560350.03357644321</v>
      </c>
      <c r="N974" s="2846"/>
      <c r="O974" s="2846"/>
      <c r="Z974" s="2751" t="s">
        <v>6468</v>
      </c>
      <c r="AA974" s="2671">
        <v>79</v>
      </c>
    </row>
    <row r="975" spans="1:27" s="652" customFormat="1" ht="13.35" customHeight="1">
      <c r="A975" s="652" t="s">
        <v>953</v>
      </c>
      <c r="B975" s="3035">
        <f>'Part VI-Pro Forma'!B80</f>
        <v>9377.516826540199</v>
      </c>
      <c r="C975" s="3035">
        <f>'Part VI-Pro Forma'!C80</f>
        <v>9565.0671630710021</v>
      </c>
      <c r="D975" s="3035">
        <f>'Part VI-Pro Forma'!D80</f>
        <v>9756.3685063324228</v>
      </c>
      <c r="E975" s="3035">
        <f>'Part VI-Pro Forma'!E80</f>
        <v>9951.4958764590683</v>
      </c>
      <c r="F975" s="3035">
        <f>'Part VI-Pro Forma'!F80</f>
        <v>10150.52579398825</v>
      </c>
      <c r="G975" s="3035">
        <f>'Part VI-Pro Forma'!G80</f>
        <v>10353.536309868015</v>
      </c>
      <c r="H975" s="3035">
        <f>'Part VI-Pro Forma'!H80</f>
        <v>10560.607036065378</v>
      </c>
      <c r="I975" s="3035">
        <f>'Part VI-Pro Forma'!I80</f>
        <v>10771.819176786683</v>
      </c>
      <c r="J975" s="3035">
        <f>'Part VI-Pro Forma'!J80</f>
        <v>10987.255560322419</v>
      </c>
      <c r="K975" s="3035">
        <f>'Part VI-Pro Forma'!K80</f>
        <v>11207.000671528865</v>
      </c>
      <c r="N975" s="2846"/>
      <c r="O975" s="2846"/>
      <c r="Z975" s="2751" t="s">
        <v>6468</v>
      </c>
      <c r="AA975" s="2671">
        <v>80</v>
      </c>
    </row>
    <row r="976" spans="1:27" s="652" customFormat="1" ht="13.35" customHeight="1">
      <c r="A976" s="652" t="s">
        <v>2217</v>
      </c>
      <c r="B976" s="3035">
        <f>'Part VI-Pro Forma'!B81</f>
        <v>-33477.735070748509</v>
      </c>
      <c r="C976" s="3035">
        <f>'Part VI-Pro Forma'!C81</f>
        <v>-34147.28977216348</v>
      </c>
      <c r="D976" s="3035">
        <f>'Part VI-Pro Forma'!D81</f>
        <v>-34830.235567606745</v>
      </c>
      <c r="E976" s="3035">
        <f>'Part VI-Pro Forma'!E81</f>
        <v>-35526.84027895888</v>
      </c>
      <c r="F976" s="3035">
        <f>'Part VI-Pro Forma'!F81</f>
        <v>-36237.377084538057</v>
      </c>
      <c r="G976" s="3035">
        <f>'Part VI-Pro Forma'!G81</f>
        <v>-36962.124626228819</v>
      </c>
      <c r="H976" s="3035">
        <f>'Part VI-Pro Forma'!H81</f>
        <v>-37701.367118753406</v>
      </c>
      <c r="I976" s="3035">
        <f>'Part VI-Pro Forma'!I81</f>
        <v>-38455.394461128461</v>
      </c>
      <c r="J976" s="3035">
        <f>'Part VI-Pro Forma'!J81</f>
        <v>-39224.502350351038</v>
      </c>
      <c r="K976" s="3035">
        <f>'Part VI-Pro Forma'!K81</f>
        <v>-40008.992397358052</v>
      </c>
      <c r="N976" s="2846"/>
      <c r="O976" s="2846"/>
      <c r="Z976" s="2751" t="s">
        <v>6468</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6468</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6468</v>
      </c>
      <c r="AA978" s="2671">
        <v>83</v>
      </c>
    </row>
    <row r="979" spans="1:27" s="652" customFormat="1" ht="13.35" customHeight="1">
      <c r="A979" s="652" t="s">
        <v>3841</v>
      </c>
      <c r="B979" s="3035">
        <f t="shared" ref="B979:K979" si="398">SUM(B974:B978)</f>
        <v>444775.62308280158</v>
      </c>
      <c r="C979" s="3035">
        <f t="shared" si="398"/>
        <v>453671.13554445759</v>
      </c>
      <c r="D979" s="3035">
        <f t="shared" si="398"/>
        <v>462744.55825534672</v>
      </c>
      <c r="E979" s="3035">
        <f t="shared" si="398"/>
        <v>471999.44942045357</v>
      </c>
      <c r="F979" s="3035">
        <f t="shared" si="398"/>
        <v>481439.43840886274</v>
      </c>
      <c r="G979" s="3035">
        <f t="shared" si="398"/>
        <v>491068.22717703995</v>
      </c>
      <c r="H979" s="3035">
        <f t="shared" si="398"/>
        <v>500889.59172058094</v>
      </c>
      <c r="I979" s="3035">
        <f t="shared" si="398"/>
        <v>510907.38355499232</v>
      </c>
      <c r="J979" s="3035">
        <f t="shared" si="398"/>
        <v>521125.53122609231</v>
      </c>
      <c r="K979" s="3035">
        <f t="shared" si="398"/>
        <v>531548.04185061401</v>
      </c>
      <c r="N979" s="2846"/>
      <c r="O979" s="2846"/>
      <c r="Z979" s="2751" t="s">
        <v>6468</v>
      </c>
      <c r="AA979" s="2671">
        <v>84</v>
      </c>
    </row>
    <row r="980" spans="1:27" s="652" customFormat="1" ht="13.35" customHeight="1">
      <c r="A980" s="652" t="s">
        <v>572</v>
      </c>
      <c r="B980" s="3035">
        <f>'Part VI-Pro Forma'!B85</f>
        <v>-351593.86794185999</v>
      </c>
      <c r="C980" s="3035">
        <f>'Part VI-Pro Forma'!C85</f>
        <v>-362141.68398011575</v>
      </c>
      <c r="D980" s="3035">
        <f>'Part VI-Pro Forma'!D85</f>
        <v>-373005.9344995193</v>
      </c>
      <c r="E980" s="3035">
        <f>'Part VI-Pro Forma'!E85</f>
        <v>-384196.11253450485</v>
      </c>
      <c r="F980" s="3035">
        <f>'Part VI-Pro Forma'!F85</f>
        <v>-395721.99591053999</v>
      </c>
      <c r="G980" s="3035">
        <f>'Part VI-Pro Forma'!G85</f>
        <v>-407593.65578785614</v>
      </c>
      <c r="H980" s="3035">
        <f>'Part VI-Pro Forma'!H85</f>
        <v>-419821.4654614919</v>
      </c>
      <c r="I980" s="3035">
        <f>'Part VI-Pro Forma'!I85</f>
        <v>-432416.10942533659</v>
      </c>
      <c r="J980" s="3035">
        <f>'Part VI-Pro Forma'!J85</f>
        <v>-445388.59270809672</v>
      </c>
      <c r="K980" s="3035">
        <f>'Part VI-Pro Forma'!K85</f>
        <v>-458750.25048933958</v>
      </c>
      <c r="N980" s="2846"/>
      <c r="O980" s="2846"/>
      <c r="Z980" s="2751" t="s">
        <v>6468</v>
      </c>
      <c r="AA980" s="2671">
        <v>85</v>
      </c>
    </row>
    <row r="981" spans="1:27" s="652" customFormat="1" ht="13.35" customHeight="1">
      <c r="A981" s="652" t="s">
        <v>1051</v>
      </c>
      <c r="B981" s="3035">
        <f>'Part VI-Pro Forma'!B86</f>
        <v>-39879</v>
      </c>
      <c r="C981" s="3035">
        <f>'Part VI-Pro Forma'!C86</f>
        <v>-41075</v>
      </c>
      <c r="D981" s="3035">
        <f>'Part VI-Pro Forma'!D86</f>
        <v>-42308</v>
      </c>
      <c r="E981" s="3035">
        <f>'Part VI-Pro Forma'!E86</f>
        <v>-43577</v>
      </c>
      <c r="F981" s="3035">
        <f>'Part VI-Pro Forma'!F86</f>
        <v>-44884</v>
      </c>
      <c r="G981" s="3035">
        <f>'Part VI-Pro Forma'!G86</f>
        <v>-46231</v>
      </c>
      <c r="H981" s="3035">
        <f>'Part VI-Pro Forma'!H86</f>
        <v>-47618</v>
      </c>
      <c r="I981" s="3035">
        <f>'Part VI-Pro Forma'!I86</f>
        <v>-49046</v>
      </c>
      <c r="J981" s="3035">
        <f>'Part VI-Pro Forma'!J86</f>
        <v>-50517</v>
      </c>
      <c r="K981" s="3035">
        <f>'Part VI-Pro Forma'!K86</f>
        <v>-52033</v>
      </c>
      <c r="N981" s="2846"/>
      <c r="O981" s="2846"/>
      <c r="Z981" s="2751" t="s">
        <v>6468</v>
      </c>
      <c r="AA981" s="2671">
        <v>86</v>
      </c>
    </row>
    <row r="982" spans="1:27" s="652" customFormat="1" ht="13.35" customHeight="1">
      <c r="A982" s="652" t="s">
        <v>1129</v>
      </c>
      <c r="B982" s="3035">
        <f>'Part VI-Pro Forma'!B87</f>
        <v>-20770.279198698252</v>
      </c>
      <c r="C982" s="3035">
        <f>'Part VI-Pro Forma'!C87</f>
        <v>-21393.387574659198</v>
      </c>
      <c r="D982" s="3035">
        <f>'Part VI-Pro Forma'!D87</f>
        <v>-22035.189201898975</v>
      </c>
      <c r="E982" s="3035">
        <f>'Part VI-Pro Forma'!E87</f>
        <v>-22696.244877955945</v>
      </c>
      <c r="F982" s="3035">
        <f>'Part VI-Pro Forma'!F87</f>
        <v>-23377.132224294623</v>
      </c>
      <c r="G982" s="3035">
        <f>'Part VI-Pro Forma'!G87</f>
        <v>-24078.44619102346</v>
      </c>
      <c r="H982" s="3035">
        <f>'Part VI-Pro Forma'!H87</f>
        <v>-24800.799576754165</v>
      </c>
      <c r="I982" s="3035">
        <f>'Part VI-Pro Forma'!I87</f>
        <v>-25544.823564056787</v>
      </c>
      <c r="J982" s="3035">
        <f>'Part VI-Pro Forma'!J87</f>
        <v>-26311.168270978491</v>
      </c>
      <c r="K982" s="3035">
        <f>'Part VI-Pro Forma'!K87</f>
        <v>-27100.503319107844</v>
      </c>
      <c r="N982" s="2846"/>
      <c r="O982" s="2846"/>
      <c r="Q982" s="2671">
        <v>10</v>
      </c>
      <c r="R982" s="2948">
        <f>-SUM(B988:K988)</f>
        <v>0</v>
      </c>
      <c r="S982" s="2948">
        <f>SUM(B989:K989)+R982</f>
        <v>0</v>
      </c>
      <c r="Z982" s="2751" t="s">
        <v>6468</v>
      </c>
      <c r="AA982" s="2671">
        <v>87</v>
      </c>
    </row>
    <row r="983" spans="1:27" s="652" customFormat="1" ht="13.35" customHeight="1">
      <c r="A983" s="652" t="s">
        <v>3840</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6468</v>
      </c>
      <c r="AA983" s="2671">
        <v>88</v>
      </c>
    </row>
    <row r="984" spans="1:27" s="652" customFormat="1" ht="13.35" customHeight="1">
      <c r="A984" s="652" t="s">
        <v>1130</v>
      </c>
      <c r="B984" s="3035">
        <f t="shared" ref="B984:K984" si="399">SUM(B979:B983)</f>
        <v>32532.475942243338</v>
      </c>
      <c r="C984" s="3035">
        <f t="shared" si="399"/>
        <v>29061.063989682643</v>
      </c>
      <c r="D984" s="3035">
        <f t="shared" si="399"/>
        <v>25395.434553928455</v>
      </c>
      <c r="E984" s="3035">
        <f t="shared" si="399"/>
        <v>21530.092007992778</v>
      </c>
      <c r="F984" s="3035">
        <f t="shared" si="399"/>
        <v>17456.310274028128</v>
      </c>
      <c r="G984" s="3035">
        <f t="shared" si="399"/>
        <v>13165.125198160349</v>
      </c>
      <c r="H984" s="3035">
        <f t="shared" si="399"/>
        <v>8649.3266823348749</v>
      </c>
      <c r="I984" s="3035">
        <f t="shared" si="399"/>
        <v>3900.4505655989487</v>
      </c>
      <c r="J984" s="3035">
        <f t="shared" si="399"/>
        <v>-1091.2297529829048</v>
      </c>
      <c r="K984" s="3035">
        <f t="shared" si="399"/>
        <v>-6335.7119578334132</v>
      </c>
      <c r="N984" s="2846"/>
      <c r="O984" s="2846"/>
      <c r="Z984" s="2751" t="s">
        <v>6468</v>
      </c>
      <c r="AA984" s="2671">
        <v>89</v>
      </c>
    </row>
    <row r="985" spans="1:27" s="652" customFormat="1" ht="13.35" customHeight="1">
      <c r="A985" s="652" t="str">
        <f>$A953</f>
        <v>Mortgage A</v>
      </c>
      <c r="B985" s="3036">
        <f>'Part VI-Pro Forma'!B90</f>
        <v>-39820.285480056715</v>
      </c>
      <c r="C985" s="3036">
        <f>'Part VI-Pro Forma'!C90</f>
        <v>-39820.285480056715</v>
      </c>
      <c r="D985" s="3036">
        <f>'Part VI-Pro Forma'!D90</f>
        <v>-39820.285480056715</v>
      </c>
      <c r="E985" s="3036">
        <f>'Part VI-Pro Forma'!E90</f>
        <v>-39820.285480056715</v>
      </c>
      <c r="F985" s="3036">
        <f>'Part VI-Pro Forma'!F90</f>
        <v>-39820.285480056715</v>
      </c>
      <c r="G985" s="3036">
        <f>'Part VI-Pro Forma'!G90</f>
        <v>-39820.285480056715</v>
      </c>
      <c r="H985" s="3036">
        <f>'Part VI-Pro Forma'!H90</f>
        <v>-39820.285480056715</v>
      </c>
      <c r="I985" s="3036">
        <f>'Part VI-Pro Forma'!I90</f>
        <v>-39820.285480056715</v>
      </c>
      <c r="J985" s="3036">
        <f>'Part VI-Pro Forma'!J90</f>
        <v>-39820.285480056715</v>
      </c>
      <c r="K985" s="3036">
        <f>'Part VI-Pro Forma'!K90</f>
        <v>-39820.285480056715</v>
      </c>
      <c r="N985" s="2846"/>
      <c r="O985" s="2846"/>
      <c r="Z985" s="2751" t="s">
        <v>6468</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6468</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6468</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6468</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6468</v>
      </c>
      <c r="AA989" s="2671">
        <v>94</v>
      </c>
    </row>
    <row r="990" spans="1:27" s="652" customFormat="1" ht="13.35" customHeight="1">
      <c r="A990" s="652" t="s">
        <v>1096</v>
      </c>
      <c r="B990" s="3036">
        <f>'Part VI-Pro Forma'!B95</f>
        <v>-7500</v>
      </c>
      <c r="C990" s="3036">
        <f>'Part VI-Pro Forma'!C95</f>
        <v>-7500</v>
      </c>
      <c r="D990" s="3036">
        <f>'Part VI-Pro Forma'!D95</f>
        <v>-7500</v>
      </c>
      <c r="E990" s="3036">
        <f>'Part VI-Pro Forma'!E95</f>
        <v>-7500</v>
      </c>
      <c r="F990" s="3036">
        <f>'Part VI-Pro Forma'!F95</f>
        <v>-7500</v>
      </c>
      <c r="G990" s="3036">
        <f>'Part VI-Pro Forma'!G95</f>
        <v>-7500</v>
      </c>
      <c r="H990" s="3036">
        <f>'Part VI-Pro Forma'!H95</f>
        <v>-7500</v>
      </c>
      <c r="I990" s="3036">
        <f>'Part VI-Pro Forma'!I95</f>
        <v>-7500</v>
      </c>
      <c r="J990" s="3036">
        <f>'Part VI-Pro Forma'!J95</f>
        <v>-7500</v>
      </c>
      <c r="K990" s="3036">
        <f>'Part VI-Pro Forma'!K95</f>
        <v>-7500</v>
      </c>
      <c r="N990" s="2846"/>
      <c r="O990" s="2846"/>
      <c r="Z990" s="2751" t="s">
        <v>6468</v>
      </c>
      <c r="AA990" s="2671">
        <v>95</v>
      </c>
    </row>
    <row r="991" spans="1:27" s="652" customFormat="1" ht="13.35" customHeight="1">
      <c r="A991" s="652" t="s">
        <v>1097</v>
      </c>
      <c r="B991" s="3035">
        <f t="shared" ref="B991:K991" si="400">SUM(B984:B990)</f>
        <v>-14787.809537813377</v>
      </c>
      <c r="C991" s="3035">
        <f t="shared" si="400"/>
        <v>-18259.221490374071</v>
      </c>
      <c r="D991" s="3035">
        <f t="shared" si="400"/>
        <v>-21924.85092612826</v>
      </c>
      <c r="E991" s="3035">
        <f t="shared" si="400"/>
        <v>-25790.193472063936</v>
      </c>
      <c r="F991" s="3035">
        <f t="shared" si="400"/>
        <v>-29863.975206028586</v>
      </c>
      <c r="G991" s="3035">
        <f t="shared" si="400"/>
        <v>-34155.160281896366</v>
      </c>
      <c r="H991" s="3035">
        <f t="shared" si="400"/>
        <v>-38670.95879772184</v>
      </c>
      <c r="I991" s="3035">
        <f t="shared" si="400"/>
        <v>-43419.834914457766</v>
      </c>
      <c r="J991" s="3035">
        <f t="shared" si="400"/>
        <v>-48411.515233039623</v>
      </c>
      <c r="K991" s="3035">
        <f t="shared" si="400"/>
        <v>-53655.997437890124</v>
      </c>
      <c r="N991" s="2846"/>
      <c r="O991" s="2846"/>
      <c r="Z991" s="2751" t="s">
        <v>6468</v>
      </c>
      <c r="AA991" s="2857">
        <v>96</v>
      </c>
    </row>
    <row r="992" spans="1:27" s="652" customFormat="1" ht="13.35" customHeight="1">
      <c r="A992" s="652" t="str">
        <f>$A961</f>
        <v>DCR Mortgage A</v>
      </c>
      <c r="B992" s="3037">
        <f t="shared" ref="B992:K992" si="401">IF(B985=0,"",-B984/B985)</f>
        <v>0.81698248895118175</v>
      </c>
      <c r="C992" s="3037">
        <f t="shared" si="401"/>
        <v>0.72980551594079768</v>
      </c>
      <c r="D992" s="3037">
        <f t="shared" si="401"/>
        <v>0.63775119258367219</v>
      </c>
      <c r="E992" s="3037">
        <f t="shared" si="401"/>
        <v>0.54068150814176719</v>
      </c>
      <c r="F992" s="3037">
        <f t="shared" si="401"/>
        <v>0.438377326118639</v>
      </c>
      <c r="G992" s="3037">
        <f t="shared" si="401"/>
        <v>0.33061353125541676</v>
      </c>
      <c r="H992" s="3037">
        <f t="shared" si="401"/>
        <v>0.21720905759620274</v>
      </c>
      <c r="I992" s="3037">
        <f t="shared" si="401"/>
        <v>9.7951346118611338E-2</v>
      </c>
      <c r="J992" s="3037">
        <f t="shared" si="401"/>
        <v>-2.7403865638518033E-2</v>
      </c>
      <c r="K992" s="3037">
        <f t="shared" si="401"/>
        <v>-0.15910764780946993</v>
      </c>
      <c r="N992" s="2846"/>
      <c r="O992" s="2846"/>
      <c r="Z992" s="2751" t="s">
        <v>6468</v>
      </c>
      <c r="AA992" s="2671">
        <v>97</v>
      </c>
    </row>
    <row r="993" spans="1:27" s="652" customFormat="1" ht="13.35" customHeight="1">
      <c r="A993" s="652" t="str">
        <f>$A962</f>
        <v>DCR Mortgage B</v>
      </c>
      <c r="B993" s="3037" t="str">
        <f t="shared" ref="B993:K993" si="402">IF(B986=0,"",-(B984+B985)/B986)</f>
        <v/>
      </c>
      <c r="C993" s="3037" t="str">
        <f t="shared" si="402"/>
        <v/>
      </c>
      <c r="D993" s="3037" t="str">
        <f t="shared" si="402"/>
        <v/>
      </c>
      <c r="E993" s="3037" t="str">
        <f t="shared" si="402"/>
        <v/>
      </c>
      <c r="F993" s="3037" t="str">
        <f t="shared" si="402"/>
        <v/>
      </c>
      <c r="G993" s="3037" t="str">
        <f t="shared" si="402"/>
        <v/>
      </c>
      <c r="H993" s="3037" t="str">
        <f t="shared" si="402"/>
        <v/>
      </c>
      <c r="I993" s="3037" t="str">
        <f t="shared" si="402"/>
        <v/>
      </c>
      <c r="J993" s="3037" t="str">
        <f t="shared" si="402"/>
        <v/>
      </c>
      <c r="K993" s="3037" t="str">
        <f t="shared" si="402"/>
        <v/>
      </c>
      <c r="N993" s="2846"/>
      <c r="O993" s="2846"/>
      <c r="Z993" s="2751" t="s">
        <v>6468</v>
      </c>
      <c r="AA993" s="2671">
        <v>98</v>
      </c>
    </row>
    <row r="994" spans="1:27" s="652" customFormat="1" ht="13.35" customHeight="1">
      <c r="A994" s="652" t="str">
        <f>$A963</f>
        <v>DCR Mortgage C</v>
      </c>
      <c r="B994" s="3037" t="str">
        <f t="shared" ref="B994:K994" si="403">IF(B987=0,"",-(B984+B985+B986)/B987)</f>
        <v/>
      </c>
      <c r="C994" s="3037" t="str">
        <f t="shared" si="403"/>
        <v/>
      </c>
      <c r="D994" s="3037" t="str">
        <f t="shared" si="403"/>
        <v/>
      </c>
      <c r="E994" s="3037" t="str">
        <f t="shared" si="403"/>
        <v/>
      </c>
      <c r="F994" s="3037" t="str">
        <f t="shared" si="403"/>
        <v/>
      </c>
      <c r="G994" s="3037" t="str">
        <f t="shared" si="403"/>
        <v/>
      </c>
      <c r="H994" s="3037" t="str">
        <f t="shared" si="403"/>
        <v/>
      </c>
      <c r="I994" s="3037" t="str">
        <f t="shared" si="403"/>
        <v/>
      </c>
      <c r="J994" s="3037" t="str">
        <f t="shared" si="403"/>
        <v/>
      </c>
      <c r="K994" s="3037" t="str">
        <f t="shared" si="403"/>
        <v/>
      </c>
      <c r="N994" s="2846"/>
      <c r="O994" s="2846"/>
      <c r="Z994" s="2751" t="s">
        <v>6468</v>
      </c>
      <c r="AA994" s="2857">
        <v>99</v>
      </c>
    </row>
    <row r="995" spans="1:27" s="652" customFormat="1" ht="13.35" customHeight="1">
      <c r="A995" s="652" t="str">
        <f>$A964</f>
        <v>DCR Other Source</v>
      </c>
      <c r="B995" s="3037" t="str">
        <f t="shared" ref="B995:K995" si="404">IF(B988=0,"",-(B984+B985+B986+B987)/B988)</f>
        <v/>
      </c>
      <c r="C995" s="3037" t="str">
        <f t="shared" si="404"/>
        <v/>
      </c>
      <c r="D995" s="3037" t="str">
        <f t="shared" si="404"/>
        <v/>
      </c>
      <c r="E995" s="3037" t="str">
        <f t="shared" si="404"/>
        <v/>
      </c>
      <c r="F995" s="3037" t="str">
        <f t="shared" si="404"/>
        <v/>
      </c>
      <c r="G995" s="3037" t="str">
        <f t="shared" si="404"/>
        <v/>
      </c>
      <c r="H995" s="3037" t="str">
        <f t="shared" si="404"/>
        <v/>
      </c>
      <c r="I995" s="3037" t="str">
        <f t="shared" si="404"/>
        <v/>
      </c>
      <c r="J995" s="3037" t="str">
        <f t="shared" si="404"/>
        <v/>
      </c>
      <c r="K995" s="3037" t="str">
        <f t="shared" si="404"/>
        <v/>
      </c>
      <c r="N995" s="2846"/>
      <c r="O995" s="2846"/>
      <c r="Z995" s="2751" t="s">
        <v>6468</v>
      </c>
      <c r="AA995" s="2671">
        <v>100</v>
      </c>
    </row>
    <row r="996" spans="1:27" s="652" customFormat="1" ht="13.35" customHeight="1">
      <c r="A996" s="652" t="s">
        <v>3216</v>
      </c>
      <c r="B996" s="3037">
        <f t="shared" ref="B996:K996" si="405">IF(AND(B985=0,B986=0,B987=0,B988=0),"",-B984/(B985+B986+B987+B988))</f>
        <v>0.81698248895118175</v>
      </c>
      <c r="C996" s="3037">
        <f t="shared" si="405"/>
        <v>0.72980551594079768</v>
      </c>
      <c r="D996" s="3037">
        <f t="shared" si="405"/>
        <v>0.63775119258367219</v>
      </c>
      <c r="E996" s="3037">
        <f t="shared" si="405"/>
        <v>0.54068150814176719</v>
      </c>
      <c r="F996" s="3037">
        <f t="shared" si="405"/>
        <v>0.438377326118639</v>
      </c>
      <c r="G996" s="3037">
        <f t="shared" si="405"/>
        <v>0.33061353125541676</v>
      </c>
      <c r="H996" s="3037">
        <f t="shared" si="405"/>
        <v>0.21720905759620274</v>
      </c>
      <c r="I996" s="3037">
        <f t="shared" si="405"/>
        <v>9.7951346118611338E-2</v>
      </c>
      <c r="J996" s="3037">
        <f t="shared" si="405"/>
        <v>-2.7403865638518033E-2</v>
      </c>
      <c r="K996" s="3037">
        <f t="shared" si="405"/>
        <v>-0.15910764780946993</v>
      </c>
      <c r="N996" s="2846"/>
      <c r="O996" s="2846"/>
      <c r="Z996" s="2751" t="s">
        <v>6468</v>
      </c>
      <c r="AA996" s="2671">
        <v>101</v>
      </c>
    </row>
    <row r="997" spans="1:27" s="652" customFormat="1" ht="13.35" customHeight="1">
      <c r="A997" s="652" t="s">
        <v>718</v>
      </c>
      <c r="B997" s="3038">
        <f>IF(OR(B981="Choose mgt fee",B981="Choose One!"),"",(B974+B975+B976+B977+B978) / -(B980+B981+B982))</f>
        <v>1.0789157470970672</v>
      </c>
      <c r="C997" s="3038">
        <f t="shared" ref="C997:K997" si="406">IF(OR(C981="Choose mgt fee",C981="Choose One!"),"",(C974+C975+C976+C977+C978) / -(C980+C981+C982))</f>
        <v>1.0684417679572957</v>
      </c>
      <c r="D997" s="3038">
        <f t="shared" si="406"/>
        <v>1.0580667324516377</v>
      </c>
      <c r="E997" s="3038">
        <f t="shared" si="406"/>
        <v>1.0477947981449032</v>
      </c>
      <c r="F997" s="3038">
        <f t="shared" si="406"/>
        <v>1.0376227263784368</v>
      </c>
      <c r="G997" s="3038">
        <f t="shared" si="406"/>
        <v>1.0275476872689187</v>
      </c>
      <c r="H997" s="3038">
        <f t="shared" si="406"/>
        <v>1.0175713514246196</v>
      </c>
      <c r="I997" s="3038">
        <f t="shared" si="406"/>
        <v>1.0076930911824051</v>
      </c>
      <c r="J997" s="3038">
        <f t="shared" si="406"/>
        <v>0.99791038925878783</v>
      </c>
      <c r="K997" s="3038">
        <f t="shared" si="406"/>
        <v>0.98822103862967825</v>
      </c>
      <c r="N997" s="2846"/>
      <c r="O997" s="2846"/>
      <c r="Z997" s="2751" t="s">
        <v>6468</v>
      </c>
      <c r="AA997" s="2671">
        <v>102</v>
      </c>
    </row>
    <row r="998" spans="1:27" s="652" customFormat="1" ht="13.35" customHeight="1">
      <c r="A998" s="652" t="s">
        <v>2406</v>
      </c>
      <c r="B998" s="3036">
        <f>'Part VI-Pro Forma'!B103</f>
        <v>270786.48946317489</v>
      </c>
      <c r="C998" s="3036">
        <f>'Part VI-Pro Forma'!C103</f>
        <v>247893.28114641586</v>
      </c>
      <c r="D998" s="3036">
        <f>'Part VI-Pro Forma'!D103</f>
        <v>223466.87227040343</v>
      </c>
      <c r="E998" s="3036">
        <f>'Part VI-Pro Forma'!E103</f>
        <v>197404.58155419311</v>
      </c>
      <c r="F998" s="3036">
        <f>'Part VI-Pro Forma'!F103</f>
        <v>169596.85096128951</v>
      </c>
      <c r="G998" s="3036">
        <f>'Part VI-Pro Forma'!G103</f>
        <v>139926.78515059137</v>
      </c>
      <c r="H998" s="3036">
        <f>'Part VI-Pro Forma'!H103</f>
        <v>108269.66008351344</v>
      </c>
      <c r="I998" s="3036">
        <f>'Part VI-Pro Forma'!I103</f>
        <v>74492.398721617181</v>
      </c>
      <c r="J998" s="3036">
        <f>'Part VI-Pro Forma'!J103</f>
        <v>38453.011610740781</v>
      </c>
      <c r="K998" s="3036">
        <f>'Part VI-Pro Forma'!K103</f>
        <v>1.2412783689796925E-8</v>
      </c>
      <c r="N998" s="2846"/>
      <c r="O998" s="2846"/>
      <c r="Z998" s="2751" t="s">
        <v>6468</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6468</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6468</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6468</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571557.03424797219</v>
      </c>
      <c r="C1004" s="3035">
        <f>'Part VI-Pro Forma'!C109</f>
        <v>582988.17493293143</v>
      </c>
      <c r="D1004" s="3035">
        <f>'Part VI-Pro Forma'!D109</f>
        <v>594647.93843159021</v>
      </c>
      <c r="E1004" s="3035">
        <f>'Part VI-Pro Forma'!E109</f>
        <v>606540.89720022201</v>
      </c>
      <c r="F1004" s="3035">
        <f>'Part VI-Pro Forma'!F109</f>
        <v>618671.71514422644</v>
      </c>
      <c r="G1004" s="3035"/>
      <c r="H1004" s="3035"/>
      <c r="I1004" s="3035"/>
      <c r="J1004" s="3035"/>
      <c r="K1004" s="3035"/>
      <c r="N1004" s="2846"/>
      <c r="O1004" s="2846"/>
      <c r="Z1004" s="2751" t="s">
        <v>6469</v>
      </c>
      <c r="AA1004" s="2671">
        <v>109</v>
      </c>
    </row>
    <row r="1005" spans="1:27" s="652" customFormat="1" ht="13.35" customHeight="1">
      <c r="A1005" s="652" t="s">
        <v>953</v>
      </c>
      <c r="B1005" s="3035">
        <f>'Part VI-Pro Forma'!B110</f>
        <v>11431.140684959444</v>
      </c>
      <c r="C1005" s="3035">
        <f>'Part VI-Pro Forma'!C110</f>
        <v>11659.763498658629</v>
      </c>
      <c r="D1005" s="3035">
        <f>'Part VI-Pro Forma'!D110</f>
        <v>11892.958768631805</v>
      </c>
      <c r="E1005" s="3035">
        <f>'Part VI-Pro Forma'!E110</f>
        <v>12130.817944004442</v>
      </c>
      <c r="F1005" s="3035">
        <f>'Part VI-Pro Forma'!F110</f>
        <v>12373.434302884529</v>
      </c>
      <c r="G1005" s="3035"/>
      <c r="H1005" s="3035"/>
      <c r="I1005" s="3035"/>
      <c r="J1005" s="3035"/>
      <c r="K1005" s="3035"/>
      <c r="N1005" s="2846"/>
      <c r="O1005" s="2846"/>
      <c r="Z1005" s="2751" t="s">
        <v>6469</v>
      </c>
      <c r="AA1005" s="2671">
        <v>110</v>
      </c>
    </row>
    <row r="1006" spans="1:27" s="652" customFormat="1" ht="13.35" customHeight="1">
      <c r="A1006" s="652" t="s">
        <v>2217</v>
      </c>
      <c r="B1006" s="3035">
        <f>'Part VI-Pro Forma'!B111</f>
        <v>-40809.172245305221</v>
      </c>
      <c r="C1006" s="3035">
        <f>'Part VI-Pro Forma'!C111</f>
        <v>-41625.355690211312</v>
      </c>
      <c r="D1006" s="3035">
        <f>'Part VI-Pro Forma'!D111</f>
        <v>-42457.862804015545</v>
      </c>
      <c r="E1006" s="3035">
        <f>'Part VI-Pro Forma'!E111</f>
        <v>-43307.020060095856</v>
      </c>
      <c r="F1006" s="3035">
        <f>'Part VI-Pro Forma'!F111</f>
        <v>-44173.160461297768</v>
      </c>
      <c r="G1006" s="3035"/>
      <c r="H1006" s="3035"/>
      <c r="I1006" s="3035"/>
      <c r="J1006" s="3035"/>
      <c r="K1006" s="3035"/>
      <c r="N1006" s="2846"/>
      <c r="O1006" s="2846"/>
      <c r="Z1006" s="2751" t="s">
        <v>6469</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6469</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6469</v>
      </c>
      <c r="AA1008" s="2671">
        <v>113</v>
      </c>
    </row>
    <row r="1009" spans="1:27" s="652" customFormat="1" ht="13.35" customHeight="1">
      <c r="A1009" s="652" t="s">
        <v>3841</v>
      </c>
      <c r="B1009" s="3035">
        <f>SUM(B1004:B1008)</f>
        <v>542179.0026876264</v>
      </c>
      <c r="C1009" s="3035">
        <f>SUM(C1004:C1008)</f>
        <v>553022.58274137881</v>
      </c>
      <c r="D1009" s="3035">
        <f>SUM(D1004:D1008)</f>
        <v>564083.03439620649</v>
      </c>
      <c r="E1009" s="3035">
        <f>SUM(E1004:E1008)</f>
        <v>575364.69508413062</v>
      </c>
      <c r="F1009" s="3035">
        <f>SUM(F1004:F1008)</f>
        <v>586871.98898581322</v>
      </c>
      <c r="G1009" s="3035"/>
      <c r="H1009" s="3035"/>
      <c r="I1009" s="3035"/>
      <c r="J1009" s="3035"/>
      <c r="K1009" s="3035"/>
      <c r="N1009" s="2846"/>
      <c r="O1009" s="2846"/>
      <c r="Z1009" s="2751" t="s">
        <v>6469</v>
      </c>
      <c r="AA1009" s="2671">
        <v>114</v>
      </c>
    </row>
    <row r="1010" spans="1:27" s="652" customFormat="1" ht="13.35" customHeight="1">
      <c r="A1010" s="652" t="s">
        <v>572</v>
      </c>
      <c r="B1010" s="3035">
        <f>'Part VI-Pro Forma'!B115</f>
        <v>-472512.75800401974</v>
      </c>
      <c r="C1010" s="3035">
        <f>'Part VI-Pro Forma'!C115</f>
        <v>-486688.14074414043</v>
      </c>
      <c r="D1010" s="3035">
        <f>'Part VI-Pro Forma'!D115</f>
        <v>-501288.7849664645</v>
      </c>
      <c r="E1010" s="3035">
        <f>'Part VI-Pro Forma'!E115</f>
        <v>-516327.4485154585</v>
      </c>
      <c r="F1010" s="3035">
        <f>'Part VI-Pro Forma'!F115</f>
        <v>-531817.27197092213</v>
      </c>
      <c r="G1010" s="3035"/>
      <c r="H1010" s="3035"/>
      <c r="I1010" s="3035"/>
      <c r="J1010" s="3035"/>
      <c r="K1010" s="3035"/>
      <c r="N1010" s="2846"/>
      <c r="O1010" s="2846"/>
      <c r="Z1010" s="2751" t="s">
        <v>6469</v>
      </c>
      <c r="AA1010" s="2671">
        <v>115</v>
      </c>
    </row>
    <row r="1011" spans="1:27" s="652" customFormat="1" ht="13.35" customHeight="1">
      <c r="A1011" s="652" t="s">
        <v>1051</v>
      </c>
      <c r="B1011" s="3035">
        <f>'Part VI-Pro Forma'!B116</f>
        <v>-53594</v>
      </c>
      <c r="C1011" s="3035">
        <f>'Part VI-Pro Forma'!C116</f>
        <v>-55202</v>
      </c>
      <c r="D1011" s="3035">
        <f>'Part VI-Pro Forma'!D116</f>
        <v>-56858</v>
      </c>
      <c r="E1011" s="3035">
        <f>'Part VI-Pro Forma'!E116</f>
        <v>-58564</v>
      </c>
      <c r="F1011" s="3035">
        <f>'Part VI-Pro Forma'!F116</f>
        <v>-60320</v>
      </c>
      <c r="G1011" s="3035"/>
      <c r="H1011" s="3035"/>
      <c r="I1011" s="3035"/>
      <c r="J1011" s="3035"/>
      <c r="K1011" s="3035"/>
      <c r="N1011" s="2846"/>
      <c r="O1011" s="2846"/>
      <c r="Z1011" s="2751" t="s">
        <v>6469</v>
      </c>
      <c r="AA1011" s="2671">
        <v>116</v>
      </c>
    </row>
    <row r="1012" spans="1:27" s="652" customFormat="1" ht="13.35" customHeight="1">
      <c r="A1012" s="652" t="s">
        <v>1129</v>
      </c>
      <c r="B1012" s="3035">
        <f>'Part VI-Pro Forma'!B117</f>
        <v>-27913.51841868108</v>
      </c>
      <c r="C1012" s="3035">
        <f>'Part VI-Pro Forma'!C117</f>
        <v>-28750.923971241518</v>
      </c>
      <c r="D1012" s="3035">
        <f>'Part VI-Pro Forma'!D117</f>
        <v>-29613.451690378755</v>
      </c>
      <c r="E1012" s="3035">
        <f>'Part VI-Pro Forma'!E117</f>
        <v>-30501.855241090121</v>
      </c>
      <c r="F1012" s="3035">
        <f>'Part VI-Pro Forma'!F117</f>
        <v>-31416.910898322818</v>
      </c>
      <c r="G1012" s="3035"/>
      <c r="H1012" s="3035"/>
      <c r="I1012" s="3035"/>
      <c r="J1012" s="3035"/>
      <c r="K1012" s="3035"/>
      <c r="N1012" s="2846"/>
      <c r="O1012" s="2846"/>
      <c r="Q1012" s="2671">
        <v>10</v>
      </c>
      <c r="R1012" s="2948">
        <f>-SUM(B1018:K1018)</f>
        <v>0</v>
      </c>
      <c r="S1012" s="2948">
        <f>SUM(B1019:K1019)+R1012</f>
        <v>0</v>
      </c>
      <c r="Z1012" s="2751" t="s">
        <v>6469</v>
      </c>
      <c r="AA1012" s="2857">
        <v>117</v>
      </c>
    </row>
    <row r="1013" spans="1:27" s="652" customFormat="1" ht="13.35" customHeight="1">
      <c r="A1013" s="652" t="s">
        <v>3840</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6469</v>
      </c>
      <c r="AA1013" s="2671">
        <v>118</v>
      </c>
    </row>
    <row r="1014" spans="1:27" s="652" customFormat="1" ht="13.35" customHeight="1">
      <c r="A1014" s="652" t="s">
        <v>1130</v>
      </c>
      <c r="B1014" s="3035">
        <f>SUM(B1009:B1013)</f>
        <v>-11841.273735074414</v>
      </c>
      <c r="C1014" s="3035">
        <f>SUM(C1009:C1013)</f>
        <v>-17618.481974003142</v>
      </c>
      <c r="D1014" s="3035">
        <f>SUM(D1009:D1013)</f>
        <v>-23677.202260636765</v>
      </c>
      <c r="E1014" s="3035">
        <f>SUM(E1009:E1013)</f>
        <v>-30028.608672417995</v>
      </c>
      <c r="F1014" s="3035">
        <f>SUM(F1009:F1013)</f>
        <v>-36682.193883431726</v>
      </c>
      <c r="G1014" s="3035"/>
      <c r="H1014" s="3035"/>
      <c r="I1014" s="3035"/>
      <c r="J1014" s="3035"/>
      <c r="K1014" s="3035"/>
      <c r="N1014" s="2846"/>
      <c r="O1014" s="2846"/>
      <c r="Z1014" s="2751" t="s">
        <v>6469</v>
      </c>
      <c r="AA1014" s="2671">
        <v>119</v>
      </c>
    </row>
    <row r="1015" spans="1:27" s="652" customFormat="1" ht="13.35" customHeight="1">
      <c r="A1015" s="652" t="str">
        <f>$A985</f>
        <v>Mortgage A</v>
      </c>
      <c r="B1015" s="3036">
        <f>'Part VI-Pro Forma'!B120</f>
        <v>-39820.285480056715</v>
      </c>
      <c r="C1015" s="3036">
        <f>'Part VI-Pro Forma'!C120</f>
        <v>-39820.285480056715</v>
      </c>
      <c r="D1015" s="3036">
        <f>'Part VI-Pro Forma'!D120</f>
        <v>-39820.285480056715</v>
      </c>
      <c r="E1015" s="3036">
        <f>'Part VI-Pro Forma'!E120</f>
        <v>-39820.285480056715</v>
      </c>
      <c r="F1015" s="3036">
        <f>'Part VI-Pro Forma'!F120</f>
        <v>-39820.285480056715</v>
      </c>
      <c r="G1015" s="3035"/>
      <c r="H1015" s="3035"/>
      <c r="I1015" s="3035"/>
      <c r="J1015" s="3035"/>
      <c r="K1015" s="3035"/>
      <c r="N1015" s="2846"/>
      <c r="O1015" s="2846"/>
      <c r="Z1015" s="2751" t="s">
        <v>6469</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6469</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6469</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6469</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6469</v>
      </c>
      <c r="AA1019" s="2671">
        <v>124</v>
      </c>
    </row>
    <row r="1020" spans="1:27" s="652" customFormat="1" ht="13.35" customHeight="1">
      <c r="A1020" s="652" t="s">
        <v>1096</v>
      </c>
      <c r="B1020" s="3036">
        <f>'Part VI-Pro Forma'!B125</f>
        <v>-7500</v>
      </c>
      <c r="C1020" s="3036">
        <f>'Part VI-Pro Forma'!C125</f>
        <v>-7500</v>
      </c>
      <c r="D1020" s="3036">
        <f>'Part VI-Pro Forma'!D125</f>
        <v>-7500</v>
      </c>
      <c r="E1020" s="3036">
        <f>'Part VI-Pro Forma'!E125</f>
        <v>-7500</v>
      </c>
      <c r="F1020" s="3036">
        <f>'Part VI-Pro Forma'!F125</f>
        <v>-7500</v>
      </c>
      <c r="G1020" s="3035"/>
      <c r="H1020" s="3035"/>
      <c r="I1020" s="3035"/>
      <c r="J1020" s="3035"/>
      <c r="K1020" s="3035"/>
      <c r="N1020" s="2846"/>
      <c r="O1020" s="2846"/>
      <c r="Z1020" s="2751" t="s">
        <v>6469</v>
      </c>
      <c r="AA1020" s="2671">
        <v>125</v>
      </c>
    </row>
    <row r="1021" spans="1:27" s="652" customFormat="1" ht="13.35" customHeight="1">
      <c r="A1021" s="652" t="s">
        <v>1097</v>
      </c>
      <c r="B1021" s="3035">
        <f>SUM(B1014:B1020)</f>
        <v>-59161.559215131128</v>
      </c>
      <c r="C1021" s="3035">
        <f>SUM(C1014:C1020)</f>
        <v>-64938.767454059853</v>
      </c>
      <c r="D1021" s="3035">
        <f>SUM(D1014:D1020)</f>
        <v>-70997.487740693483</v>
      </c>
      <c r="E1021" s="3035">
        <f>SUM(E1014:E1020)</f>
        <v>-77348.894152474706</v>
      </c>
      <c r="F1021" s="3035">
        <f>SUM(F1014:F1020)</f>
        <v>-84002.479363488441</v>
      </c>
      <c r="G1021" s="3035"/>
      <c r="H1021" s="3035"/>
      <c r="I1021" s="3035"/>
      <c r="J1021" s="3035"/>
      <c r="K1021" s="3035"/>
      <c r="N1021" s="2846"/>
      <c r="O1021" s="2846"/>
      <c r="Z1021" s="2751" t="s">
        <v>6469</v>
      </c>
      <c r="AA1021" s="2671">
        <v>126</v>
      </c>
    </row>
    <row r="1022" spans="1:27" s="652" customFormat="1" ht="13.35" customHeight="1">
      <c r="A1022" s="652" t="str">
        <f>$A992</f>
        <v>DCR Mortgage A</v>
      </c>
      <c r="B1022" s="3037">
        <f>IF(B1015=0,"",-B1014/B1015)</f>
        <v>-0.29736787650618191</v>
      </c>
      <c r="C1022" s="3037">
        <f>IF(C1015=0,"",-C1014/C1015)</f>
        <v>-0.44244991620733221</v>
      </c>
      <c r="D1022" s="3037">
        <f>IF(D1015=0,"",-D1014/D1015)</f>
        <v>-0.59460151968260178</v>
      </c>
      <c r="E1022" s="3037">
        <f>IF(E1015=0,"",-E1014/E1015)</f>
        <v>-0.75410329962243217</v>
      </c>
      <c r="F1022" s="3037">
        <f>IF(F1015=0,"",-F1014/F1015)</f>
        <v>-0.92119364392310432</v>
      </c>
      <c r="G1022" s="3035"/>
      <c r="H1022" s="3035"/>
      <c r="I1022" s="3035"/>
      <c r="J1022" s="3035"/>
      <c r="K1022" s="3035"/>
      <c r="N1022" s="2846"/>
      <c r="O1022" s="2846"/>
      <c r="Z1022" s="2751" t="s">
        <v>6469</v>
      </c>
      <c r="AA1022" s="2671">
        <v>127</v>
      </c>
    </row>
    <row r="1023" spans="1:27" s="652" customFormat="1" ht="13.35" customHeight="1">
      <c r="A1023" s="652" t="str">
        <f>$A993</f>
        <v>DCR Mortgage B</v>
      </c>
      <c r="B1023" s="3037" t="str">
        <f>IF(B1016=0,"",-(B1014+B1015)/B1016)</f>
        <v/>
      </c>
      <c r="C1023" s="3037" t="str">
        <f>IF(C1016=0,"",-(C1014+C1015)/C1016)</f>
        <v/>
      </c>
      <c r="D1023" s="3037" t="str">
        <f>IF(D1016=0,"",-(D1014+D1015)/D1016)</f>
        <v/>
      </c>
      <c r="E1023" s="3037" t="str">
        <f>IF(E1016=0,"",-(E1014+E1015)/E1016)</f>
        <v/>
      </c>
      <c r="F1023" s="3037" t="str">
        <f>IF(F1016=0,"",-(F1014+F1015)/F1016)</f>
        <v/>
      </c>
      <c r="G1023" s="3035"/>
      <c r="H1023" s="3035"/>
      <c r="I1023" s="3035"/>
      <c r="J1023" s="3035"/>
      <c r="K1023" s="3035"/>
      <c r="N1023" s="2846"/>
      <c r="O1023" s="2846"/>
      <c r="Z1023" s="2751" t="s">
        <v>6469</v>
      </c>
      <c r="AA1023" s="2671">
        <v>128</v>
      </c>
    </row>
    <row r="1024" spans="1:27" s="652" customFormat="1" ht="13.35" customHeight="1">
      <c r="A1024" s="652" t="str">
        <f>$A994</f>
        <v>DCR Mortgage C</v>
      </c>
      <c r="B1024" s="3037" t="str">
        <f>IF(B1017=0,"",-(B1014+B1015+B1016)/B1017)</f>
        <v/>
      </c>
      <c r="C1024" s="3037" t="str">
        <f>IF(C1017=0,"",-(C1014+C1015+C1016)/C1017)</f>
        <v/>
      </c>
      <c r="D1024" s="3037" t="str">
        <f>IF(D1017=0,"",-(D1014+D1015+D1016)/D1017)</f>
        <v/>
      </c>
      <c r="E1024" s="3037" t="str">
        <f>IF(E1017=0,"",-(E1014+E1015+E1016)/E1017)</f>
        <v/>
      </c>
      <c r="F1024" s="3037" t="str">
        <f>IF(F1017=0,"",-(F1014+F1015+F1016)/F1017)</f>
        <v/>
      </c>
      <c r="G1024" s="3035"/>
      <c r="H1024" s="3035"/>
      <c r="I1024" s="3035"/>
      <c r="J1024" s="3035"/>
      <c r="K1024" s="3035"/>
      <c r="N1024" s="2846"/>
      <c r="O1024" s="2846"/>
      <c r="Z1024" s="2751" t="s">
        <v>6469</v>
      </c>
      <c r="AA1024" s="2671">
        <v>129</v>
      </c>
    </row>
    <row r="1025" spans="1:27" s="652" customFormat="1" ht="13.35" customHeight="1">
      <c r="A1025" s="652" t="str">
        <f>$A995</f>
        <v>DCR Other Source</v>
      </c>
      <c r="B1025" s="3037" t="str">
        <f>IF(B1018=0,"",-(B1014+B1015+B1016+B1017)/B1018)</f>
        <v/>
      </c>
      <c r="C1025" s="3037" t="str">
        <f>IF(C1018=0,"",-(C1014+C1015+C1016+C1017)/C1018)</f>
        <v/>
      </c>
      <c r="D1025" s="3037" t="str">
        <f>IF(D1018=0,"",-(D1014+D1015+D1016+D1017)/D1018)</f>
        <v/>
      </c>
      <c r="E1025" s="3037" t="str">
        <f>IF(E1018=0,"",-(E1014+E1015+E1016+E1017)/E1018)</f>
        <v/>
      </c>
      <c r="F1025" s="3037" t="str">
        <f>IF(F1018=0,"",-(F1014+F1015+F1016+F1017)/F1018)</f>
        <v/>
      </c>
      <c r="G1025" s="3035"/>
      <c r="H1025" s="3035"/>
      <c r="I1025" s="3035"/>
      <c r="J1025" s="3035"/>
      <c r="K1025" s="3035"/>
      <c r="N1025" s="2846"/>
      <c r="O1025" s="2846"/>
      <c r="Z1025" s="2751" t="s">
        <v>6469</v>
      </c>
      <c r="AA1025" s="2671">
        <v>130</v>
      </c>
    </row>
    <row r="1026" spans="1:27" s="652" customFormat="1" ht="13.35" customHeight="1">
      <c r="A1026" s="652" t="s">
        <v>3216</v>
      </c>
      <c r="B1026" s="3037">
        <f>IF(AND(B1015=0,B1016=0,B1017=0,B1018=0),"",-B1014/(B1015+B1016+B1017+B1018))</f>
        <v>-0.29736787650618191</v>
      </c>
      <c r="C1026" s="3037">
        <f>IF(AND(C1015=0,C1016=0,C1017=0,C1018=0),"",-C1014/(C1015+C1016+C1017+C1018))</f>
        <v>-0.44244991620733221</v>
      </c>
      <c r="D1026" s="3037">
        <f>IF(AND(D1015=0,D1016=0,D1017=0,D1018=0),"",-D1014/(D1015+D1016+D1017+D1018))</f>
        <v>-0.59460151968260178</v>
      </c>
      <c r="E1026" s="3037">
        <f>IF(AND(E1015=0,E1016=0,E1017=0,E1018=0),"",-E1014/(E1015+E1016+E1017+E1018))</f>
        <v>-0.75410329962243217</v>
      </c>
      <c r="F1026" s="3037">
        <f>IF(AND(F1015=0,F1016=0,F1017=0,F1018=0),"",-F1014/(F1015+F1016+F1017+F1018))</f>
        <v>-0.92119364392310432</v>
      </c>
      <c r="G1026" s="3035"/>
      <c r="H1026" s="3035"/>
      <c r="I1026" s="3035"/>
      <c r="J1026" s="3035"/>
      <c r="K1026" s="3035"/>
      <c r="N1026" s="2846"/>
      <c r="O1026" s="2846"/>
      <c r="Z1026" s="2751" t="s">
        <v>6469</v>
      </c>
      <c r="AA1026" s="2857">
        <v>131</v>
      </c>
    </row>
    <row r="1027" spans="1:27" s="652" customFormat="1" ht="13.35" customHeight="1">
      <c r="A1027" s="652" t="s">
        <v>718</v>
      </c>
      <c r="B1027" s="3038">
        <f>IF(OR(B1011="Choose mgt fee",B1011="Choose One!"),"",(B1004+B1005+B1006+B1007+B1008) / -(B1010+B1011+B1012))</f>
        <v>0.97862664194976157</v>
      </c>
      <c r="C1027" s="3038">
        <f>IF(OR(C1011="Choose mgt fee",C1011="Choose One!"),"",(C1004+C1005+C1006+C1007+C1008) / -(C1010+C1011+C1012))</f>
        <v>0.96912510672047292</v>
      </c>
      <c r="D1027" s="3038">
        <f>IF(OR(D1011="Choose mgt fee",D1011="Choose One!"),"",(D1004+D1005+D1006+D1007+D1008) / -(D1010+D1011+D1012))</f>
        <v>0.95971622307199322</v>
      </c>
      <c r="E1027" s="3038">
        <f>IF(OR(E1011="Choose mgt fee",E1011="Choose One!"),"",(E1004+E1005+E1006+E1007+E1008) / -(E1010+E1011+E1012))</f>
        <v>0.95039818166787371</v>
      </c>
      <c r="F1027" s="3038">
        <f>IF(OR(F1011="Choose mgt fee",F1011="Choose One!"),"",(F1004+F1005+F1006+F1007+F1008) / -(F1010+F1011+F1012))</f>
        <v>0.94117240347159414</v>
      </c>
      <c r="G1027" s="3035"/>
      <c r="H1027" s="3035"/>
      <c r="I1027" s="3035"/>
      <c r="J1027" s="3035"/>
      <c r="K1027" s="3035"/>
      <c r="N1027" s="2846"/>
      <c r="O1027" s="2846"/>
      <c r="Z1027" s="2751" t="s">
        <v>6469</v>
      </c>
      <c r="AA1027" s="2671">
        <v>132</v>
      </c>
    </row>
    <row r="1028" spans="1:27" s="652" customFormat="1" ht="13.35" customHeight="1">
      <c r="A1028" s="652" t="s">
        <v>2406</v>
      </c>
      <c r="B1028" s="3036">
        <f>'Part VI-Pro Forma'!B133</f>
        <v>-41028.281013361731</v>
      </c>
      <c r="C1028" s="3036">
        <f>'Part VI-Pro Forma'!C133</f>
        <v>-84804.301990682317</v>
      </c>
      <c r="D1028" s="3036">
        <f>'Part VI-Pro Forma'!D133</f>
        <v>-131512.08416615624</v>
      </c>
      <c r="E1028" s="3036">
        <f>'Part VI-Pro Forma'!E133</f>
        <v>-181347.97301685304</v>
      </c>
      <c r="F1028" s="3036">
        <f>'Part VI-Pro Forma'!F133</f>
        <v>-234521.46364007387</v>
      </c>
      <c r="G1028" s="3035"/>
      <c r="H1028" s="3035"/>
      <c r="I1028" s="3035"/>
      <c r="J1028" s="3035"/>
      <c r="K1028" s="3035"/>
      <c r="N1028" s="2846"/>
      <c r="O1028" s="2846"/>
      <c r="Z1028" s="2751" t="s">
        <v>6469</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6469</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6469</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6469</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No debt service payment amounts deviate from the amount shown in Permanent Sources (Part III).</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Magnolia Villas,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6640</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The Applicant believes that Magnolia Villas represents reasonable development and construction costs. Total hard costs were thoroughly examined. The Site Construction costs were determined by a third-party civil engineer’s site visit and opinion of probable costs and then re-evaluated by the general contractor. Additionally, the Structures cost estimate was fully vetted with the general contractor and was based on their experience with the proposed development design, current market conditions and most recent cost per square foot budgets. Both total net residential square footage and estimated total gross square footage were considered in this analysis.</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6857</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&lt;&lt; Select CURRENT Tenancy &gt;&gt;</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The project is targeting Seniors 55+.</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3792</v>
      </c>
      <c r="M1078" s="3057" t="s">
        <v>3793</v>
      </c>
      <c r="O1078" s="3047" t="s">
        <v>1731</v>
      </c>
      <c r="P1078" s="2135"/>
      <c r="Q1078" s="2135"/>
    </row>
    <row r="1079" spans="1:31" s="652" customFormat="1" ht="1.5" customHeight="1"/>
    <row r="1080" spans="1:31" s="652" customFormat="1" ht="12" customHeight="1">
      <c r="A1080" s="3058" t="s">
        <v>1842</v>
      </c>
      <c r="B1080" s="3053" t="s">
        <v>3787</v>
      </c>
      <c r="C1080" s="3053"/>
      <c r="D1080" s="3053"/>
      <c r="E1080" s="3053"/>
      <c r="F1080" s="3053"/>
      <c r="G1080" s="3053"/>
      <c r="H1080" s="3053"/>
      <c r="I1080" s="3053"/>
      <c r="J1080" s="3053"/>
      <c r="L1080" s="3059" t="s">
        <v>2582</v>
      </c>
      <c r="M1080" s="2860">
        <v>2</v>
      </c>
      <c r="N1080" s="3046" t="s">
        <v>4024</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3791</v>
      </c>
      <c r="M1081" s="3059">
        <v>4</v>
      </c>
      <c r="O1081" s="3053"/>
      <c r="P1081" s="3060"/>
      <c r="Q1081" s="3046"/>
    </row>
    <row r="1082" spans="1:31" s="652" customFormat="1" ht="12" customHeight="1">
      <c r="A1082" s="3058"/>
      <c r="D1082" s="3052"/>
      <c r="E1082" s="3052"/>
      <c r="F1082" s="3052"/>
      <c r="G1082" s="3052"/>
      <c r="H1082" s="3052"/>
      <c r="I1082" s="3052"/>
      <c r="J1082" s="3052"/>
      <c r="L1082" s="3061" t="s">
        <v>6166</v>
      </c>
      <c r="M1082" s="3059"/>
      <c r="O1082" s="3053"/>
      <c r="P1082" s="3062">
        <f>'Part VII-Threshold Criteria'!P44</f>
        <v>4</v>
      </c>
      <c r="Q1082" s="3063"/>
    </row>
    <row r="1083" spans="1:31" s="652" customFormat="1" ht="12" customHeight="1">
      <c r="A1083" s="3064" t="s">
        <v>1844</v>
      </c>
      <c r="B1083" s="3046" t="s">
        <v>3794</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3798</v>
      </c>
      <c r="D1084" s="3046"/>
      <c r="E1084" s="3046"/>
      <c r="F1084" s="3046"/>
      <c r="G1084" s="3046"/>
      <c r="H1084" s="3046"/>
      <c r="I1084" s="3046"/>
      <c r="J1084" s="3046"/>
      <c r="K1084" s="3053"/>
      <c r="L1084" s="3046"/>
      <c r="N1084" s="3046" t="s">
        <v>4025</v>
      </c>
      <c r="O1084" s="3065"/>
      <c r="P1084" s="3066" t="str">
        <f>'Part VII-Threshold Criteria'!P46</f>
        <v>N/ap</v>
      </c>
      <c r="Q1084" s="2976"/>
    </row>
    <row r="1085" spans="1:31" s="652" customFormat="1" ht="12.75" customHeight="1">
      <c r="A1085" s="3064"/>
      <c r="B1085" s="3061" t="s">
        <v>1616</v>
      </c>
      <c r="C1085" s="3046" t="s">
        <v>3795</v>
      </c>
      <c r="D1085" s="3046"/>
      <c r="E1085" s="3046"/>
      <c r="F1085" s="3046"/>
      <c r="G1085" s="3046"/>
      <c r="H1085" s="3046"/>
      <c r="I1085" s="3046"/>
      <c r="J1085" s="3046"/>
      <c r="K1085" s="3053"/>
      <c r="L1085" s="3046"/>
      <c r="N1085" s="3046" t="s">
        <v>4026</v>
      </c>
      <c r="O1085" s="3065"/>
      <c r="P1085" s="3066" t="str">
        <f>'Part VII-Threshold Criteria'!P47</f>
        <v>Agree</v>
      </c>
      <c r="Q1085" s="2976"/>
    </row>
    <row r="1086" spans="1:31" s="652" customFormat="1" ht="12.75" customHeight="1">
      <c r="A1086" s="3058"/>
      <c r="B1086" s="3061" t="s">
        <v>1617</v>
      </c>
      <c r="C1086" s="3046" t="s">
        <v>3796</v>
      </c>
      <c r="E1086" s="3046"/>
      <c r="F1086" s="3046"/>
      <c r="G1086" s="3046"/>
      <c r="H1086" s="3046"/>
      <c r="I1086" s="3046"/>
      <c r="J1086" s="3046"/>
      <c r="K1086" s="3053"/>
      <c r="L1086" s="3046"/>
      <c r="M1086" s="3065"/>
      <c r="N1086" s="3046" t="s">
        <v>4027</v>
      </c>
      <c r="O1086" s="3065"/>
      <c r="P1086" s="3066" t="str">
        <f>'Part VII-Threshold Criteria'!P48</f>
        <v>Agree</v>
      </c>
      <c r="Q1086" s="2976"/>
    </row>
    <row r="1087" spans="1:31" s="652" customFormat="1" ht="12.75" customHeight="1">
      <c r="A1087" s="3067"/>
      <c r="B1087" s="3061" t="s">
        <v>2183</v>
      </c>
      <c r="C1087" s="3061" t="s">
        <v>3799</v>
      </c>
      <c r="D1087" s="3011"/>
      <c r="E1087" s="3011"/>
      <c r="F1087" s="3011"/>
      <c r="G1087" s="3011"/>
      <c r="H1087" s="3011"/>
      <c r="I1087" s="2550"/>
      <c r="J1087" s="2550"/>
      <c r="N1087" s="3046" t="s">
        <v>4028</v>
      </c>
      <c r="O1087" s="3065"/>
      <c r="P1087" s="3066" t="str">
        <f>'Part VII-Threshold Criteria'!P49</f>
        <v>N/Ap</v>
      </c>
      <c r="Q1087" s="2976"/>
    </row>
    <row r="1088" spans="1:31" s="652" customFormat="1" ht="12.75" customHeight="1">
      <c r="A1088" s="3067"/>
      <c r="B1088" s="3061"/>
      <c r="C1088" s="3046" t="s">
        <v>3800</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3797</v>
      </c>
      <c r="D1089" s="3053"/>
      <c r="E1089" s="3053"/>
      <c r="F1089" s="3053"/>
      <c r="G1089" s="3053"/>
      <c r="H1089" s="3053"/>
      <c r="I1089" s="3053"/>
      <c r="J1089" s="3053"/>
      <c r="K1089" s="3053"/>
      <c r="L1089" s="3053"/>
      <c r="M1089" s="3068"/>
      <c r="N1089" s="3046" t="s">
        <v>4029</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agrees to provide the above referenced required services.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4022</v>
      </c>
      <c r="C1094" s="2906"/>
      <c r="D1094" s="3052"/>
      <c r="E1094" s="3052"/>
      <c r="F1094" s="3052"/>
      <c r="G1094" s="3052"/>
      <c r="H1094" s="3069" t="str">
        <f>'Part I-Project Identification'!$K$32</f>
        <v>Rural</v>
      </c>
      <c r="J1094" s="2802" t="s">
        <v>6641</v>
      </c>
      <c r="K1094" s="2692" t="str">
        <f>'Part VIII Scoring Criteria'!$M$59</f>
        <v>Rural</v>
      </c>
      <c r="L1094" s="2802" t="s">
        <v>3824</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Novogradac &amp; Company, LLP</v>
      </c>
      <c r="N1096" s="2913"/>
      <c r="O1096" s="2913"/>
      <c r="P1096" s="2757"/>
      <c r="Q1096" s="2976"/>
    </row>
    <row r="1097" spans="1:31" s="652" customFormat="1" ht="12.75" customHeight="1">
      <c r="A1097" s="3064" t="s">
        <v>1844</v>
      </c>
      <c r="B1097" s="474" t="s">
        <v>3949</v>
      </c>
      <c r="D1097" s="3011"/>
      <c r="E1097" s="3011"/>
      <c r="F1097" s="3011"/>
      <c r="L1097" s="3064" t="s">
        <v>1844</v>
      </c>
      <c r="M1097" s="2913" t="str">
        <f>'Part VII-Threshold Criteria'!M59</f>
        <v>4-5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0.98699999999999999</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0.26900000000000002</v>
      </c>
      <c r="L1099" s="3073"/>
      <c r="N1099" s="3074"/>
      <c r="O1099" s="3075" t="s">
        <v>3391</v>
      </c>
      <c r="P1099" s="3072" t="str">
        <f>'Part VII-Threshold Criteria'!P61</f>
        <v>N/Ap</v>
      </c>
      <c r="Q1099" s="3073"/>
    </row>
    <row r="1100" spans="1:31" s="652" customFormat="1" ht="12.75" customHeight="1">
      <c r="A1100" s="3064" t="s">
        <v>1613</v>
      </c>
      <c r="B1100" s="474" t="s">
        <v>3950</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2020-039</v>
      </c>
      <c r="E1102" s="2913" t="str">
        <f>'Part VII-Threshold Criteria'!E64</f>
        <v>South Tifton Development</v>
      </c>
      <c r="F1102" s="2913"/>
      <c r="G1102" s="2913"/>
      <c r="H1102" s="3064" t="s">
        <v>2183</v>
      </c>
      <c r="I1102" s="3066" t="str">
        <f>'Part VII-Threshold Criteria'!I64</f>
        <v>2014-008</v>
      </c>
      <c r="J1102" s="2913" t="str">
        <f>'Part VII-Threshold Criteria'!J64</f>
        <v>The Groves Place</v>
      </c>
      <c r="K1102" s="2913"/>
      <c r="L1102" s="2913"/>
      <c r="M1102" s="3064" t="s">
        <v>93</v>
      </c>
      <c r="N1102" s="3066" t="str">
        <f>'Part VII-Threshold Criteria'!N64</f>
        <v>2005-009</v>
      </c>
      <c r="O1102" s="2913" t="str">
        <f>'Part VII-Threshold Criteria'!O64</f>
        <v>Wildwood Apartments</v>
      </c>
      <c r="P1102" s="2913"/>
      <c r="Q1102" s="2913"/>
    </row>
    <row r="1103" spans="1:31" s="652" customFormat="1" ht="12.75" customHeight="1">
      <c r="C1103" s="3064" t="s">
        <v>1616</v>
      </c>
      <c r="D1103" s="3066" t="str">
        <f>'Part VII-Threshold Criteria'!D65</f>
        <v>2016-513</v>
      </c>
      <c r="E1103" s="2913" t="str">
        <f>'Part VII-Threshold Criteria'!E65</f>
        <v>Brookfield Mews Apt</v>
      </c>
      <c r="F1103" s="2913"/>
      <c r="G1103" s="2913"/>
      <c r="H1103" s="3064" t="s">
        <v>1449</v>
      </c>
      <c r="I1103" s="3066" t="str">
        <f>'Part VII-Threshold Criteria'!I65</f>
        <v>2008-027</v>
      </c>
      <c r="J1103" s="2913" t="str">
        <f>'Part VII-Threshold Criteria'!J65</f>
        <v>Tifon Estates</v>
      </c>
      <c r="K1103" s="2913"/>
      <c r="L1103" s="2913"/>
      <c r="M1103" s="3064" t="s">
        <v>481</v>
      </c>
      <c r="N1103" s="3066" t="str">
        <f>'Part VII-Threshold Criteria'!N65</f>
        <v>2004-006</v>
      </c>
      <c r="O1103" s="2913" t="str">
        <f>'Part VII-Threshold Criteria'!O65</f>
        <v>The groves</v>
      </c>
      <c r="P1103" s="2913"/>
      <c r="Q1103" s="2913"/>
    </row>
    <row r="1104" spans="1:31" s="652" customFormat="1" ht="12.75" customHeight="1">
      <c r="C1104" s="3064" t="s">
        <v>1617</v>
      </c>
      <c r="D1104" s="3066" t="str">
        <f>'Part VII-Threshold Criteria'!D66</f>
        <v>2015-032</v>
      </c>
      <c r="E1104" s="2913" t="str">
        <f>'Part VII-Threshold Criteria'!E66</f>
        <v>The Residences at West Haven</v>
      </c>
      <c r="F1104" s="2913"/>
      <c r="G1104" s="2913"/>
      <c r="H1104" s="3064" t="s">
        <v>1450</v>
      </c>
      <c r="I1104" s="3066" t="str">
        <f>'Part VII-Threshold Criteria'!I66</f>
        <v>2008-073</v>
      </c>
      <c r="J1104" s="2913" t="str">
        <f>'Part VII-Threshold Criteria'!J66</f>
        <v>West Haven Senior Village</v>
      </c>
      <c r="K1104" s="2913"/>
      <c r="L1104" s="2913"/>
      <c r="M1104" s="3064" t="s">
        <v>482</v>
      </c>
      <c r="N1104" s="3066" t="str">
        <f>'Part VII-Threshold Criteria'!N66</f>
        <v>2001-066</v>
      </c>
      <c r="O1104" s="2913" t="str">
        <f>'Part VII-Threshold Criteria'!O66</f>
        <v>Harbor Pointe</v>
      </c>
      <c r="P1104" s="2913"/>
      <c r="Q1104" s="2913"/>
    </row>
    <row r="1105" spans="1:31" s="652" customFormat="1" ht="12.75" customHeight="1">
      <c r="A1105" s="3064" t="s">
        <v>1614</v>
      </c>
      <c r="B1105" s="474" t="s">
        <v>6109</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6110</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6111</v>
      </c>
      <c r="D1107" s="3011"/>
      <c r="E1107" s="3011"/>
      <c r="F1107" s="3011"/>
      <c r="G1107" s="3011"/>
      <c r="H1107" s="3011"/>
      <c r="I1107" s="2550"/>
      <c r="J1107" s="2550"/>
      <c r="K1107" s="3011"/>
      <c r="L1107" s="2963"/>
      <c r="M1107" s="2963"/>
      <c r="O1107" s="3064" t="s">
        <v>3006</v>
      </c>
      <c r="P1107" s="3066">
        <f>'Part VII-Threshold Criteria'!P69</f>
        <v>0.95</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409.5">
      <c r="A1109" s="3049" t="str">
        <f>'Part VII-Threshold Criteria'!A71</f>
        <v>Overall vacancy in the market is low at only 1.3%; however, the total LIHTC vacancy is significantly lower at 0%. Please see Tab 5 of the Application for the Market Study.
Additional DCA funded properties in the primary market area: Westbury Place (2011-F033), Tiffany Square (1995-144)and Magnolia Place (1994-007). Please see page 108 of the Market Study (located in Tab 5 of the application) noting that the market analysi does not believe that the subject will impact the performance of the existing LIHTC properties if allocated.</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4030</v>
      </c>
      <c r="C1114" s="474"/>
      <c r="E1114" s="474"/>
      <c r="F1114" s="474"/>
      <c r="G1114" s="474"/>
      <c r="H1114" s="474"/>
      <c r="I1114" s="474"/>
      <c r="J1114" s="474"/>
      <c r="K1114" s="474"/>
      <c r="L1114" s="2923"/>
      <c r="M1114" s="2923"/>
      <c r="O1114" s="3064" t="s">
        <v>1842</v>
      </c>
      <c r="P1114" s="3066" t="str">
        <f>'Part VII-Threshold Criteria'!P76</f>
        <v>Yes</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Novogradac &amp; Company, LLP</v>
      </c>
      <c r="N1115" s="2913"/>
      <c r="O1115" s="2913"/>
      <c r="P1115" s="2757"/>
      <c r="Q1115" s="2976"/>
    </row>
    <row r="1116" spans="1:31" s="2550" customFormat="1" ht="12.75" customHeight="1">
      <c r="B1116" s="2923" t="s">
        <v>1616</v>
      </c>
      <c r="C1116" s="474" t="s">
        <v>3839</v>
      </c>
      <c r="O1116" s="3064" t="s">
        <v>1616</v>
      </c>
      <c r="P1116" s="3066" t="str">
        <f>'Part VII-Threshold Criteria'!P78</f>
        <v>Yes</v>
      </c>
      <c r="Q1116" s="2976"/>
    </row>
    <row r="1117" spans="1:31" s="2550" customFormat="1" ht="12.75" customHeight="1">
      <c r="B1117" s="3061" t="s">
        <v>1617</v>
      </c>
      <c r="C1117" s="474" t="s">
        <v>4057</v>
      </c>
      <c r="O1117" s="3058" t="s">
        <v>1617</v>
      </c>
      <c r="P1117" s="3076" t="str">
        <f>'Part VII-Threshold Criteria'!P79</f>
        <v>5.3.22</v>
      </c>
      <c r="Q1117" s="3077"/>
    </row>
    <row r="1118" spans="1:31" s="652" customFormat="1" ht="12.75" customHeight="1">
      <c r="A1118" s="2976"/>
      <c r="B1118" s="3061" t="s">
        <v>2183</v>
      </c>
      <c r="C1118" s="2923" t="s">
        <v>3801</v>
      </c>
      <c r="D1118" s="2906"/>
      <c r="E1118" s="2906"/>
      <c r="F1118" s="2906"/>
      <c r="G1118" s="2906"/>
      <c r="H1118" s="2906"/>
      <c r="I1118" s="2906"/>
      <c r="J1118" s="2906"/>
      <c r="K1118" s="2906"/>
      <c r="L1118" s="2906"/>
      <c r="M1118" s="2906"/>
      <c r="O1118" s="3058" t="s">
        <v>2183</v>
      </c>
      <c r="P1118" s="3066" t="str">
        <f>'Part VII-Threshold Criteria'!P80</f>
        <v>Yes</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t="str">
        <f>'Part VII-Threshold Criteria'!P81</f>
        <v>Yes</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t="str">
        <f>'Part VII-Threshold Criteria'!P82</f>
        <v>Yes</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t="str">
        <f>'Part VII-Threshold Criteria'!P83</f>
        <v>Yes</v>
      </c>
      <c r="Q1121" s="2976"/>
    </row>
    <row r="1122" spans="1:31" s="2980" customFormat="1">
      <c r="A1122" s="3059"/>
      <c r="B1122" s="3061" t="s">
        <v>481</v>
      </c>
      <c r="C1122" s="3046" t="s">
        <v>3952</v>
      </c>
      <c r="D1122" s="3053"/>
      <c r="E1122" s="3053"/>
      <c r="F1122" s="3053"/>
      <c r="G1122" s="3053"/>
      <c r="H1122" s="3053"/>
      <c r="I1122" s="3053"/>
      <c r="J1122" s="3053"/>
      <c r="K1122" s="3053"/>
      <c r="L1122" s="3053"/>
      <c r="M1122" s="3053"/>
      <c r="N1122" s="3053"/>
      <c r="O1122" s="3058" t="s">
        <v>481</v>
      </c>
      <c r="P1122" s="3078" t="str">
        <f>'Part VII-Threshold Criteria'!P84</f>
        <v>N/A</v>
      </c>
      <c r="Q1122" s="3059"/>
    </row>
    <row r="1123" spans="1:31" s="652" customFormat="1" ht="12.75" customHeight="1">
      <c r="A1123" s="3064" t="s">
        <v>1844</v>
      </c>
      <c r="B1123" s="474" t="s">
        <v>3951</v>
      </c>
      <c r="C1123" s="474"/>
      <c r="E1123" s="474"/>
      <c r="F1123" s="474"/>
      <c r="G1123" s="474"/>
      <c r="H1123" s="474"/>
      <c r="I1123" s="474"/>
      <c r="J1123" s="474"/>
      <c r="K1123" s="474"/>
      <c r="L1123" s="474"/>
      <c r="M1123" s="474"/>
      <c r="O1123" s="3064" t="s">
        <v>1844</v>
      </c>
      <c r="P1123" s="3066" t="str">
        <f>'Part VII-Threshold Criteria'!P85</f>
        <v>Yes</v>
      </c>
      <c r="Q1123" s="2976"/>
    </row>
    <row r="1124" spans="1:31" s="652" customFormat="1" ht="12.75" customHeight="1">
      <c r="B1124" s="3061" t="s">
        <v>1615</v>
      </c>
      <c r="C1124" s="474" t="s">
        <v>4076</v>
      </c>
      <c r="D1124" s="474"/>
      <c r="E1124" s="474"/>
      <c r="F1124" s="474"/>
      <c r="G1124" s="474"/>
      <c r="H1124" s="474"/>
      <c r="I1124" s="474"/>
      <c r="J1124" s="474"/>
      <c r="K1124" s="474"/>
      <c r="L1124" s="474"/>
      <c r="M1124" s="474"/>
      <c r="O1124" s="3058" t="s">
        <v>1615</v>
      </c>
      <c r="P1124" s="3066" t="str">
        <f>'Part VII-Threshold Criteria'!P86</f>
        <v>Yes</v>
      </c>
      <c r="Q1124" s="2976"/>
    </row>
    <row r="1125" spans="1:31" s="652" customFormat="1" ht="12.75" customHeight="1">
      <c r="A1125" s="3064"/>
      <c r="B1125" s="2923" t="s">
        <v>1616</v>
      </c>
      <c r="C1125" s="474" t="s">
        <v>4075</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258.75">
      <c r="A1127" s="3049" t="str">
        <f>'Part VII-Threshold Criteria'!A89</f>
        <v>Please see Tab 6 for the appraisal. There is an IOI between the buyer and the seller. The seller did purchase the property w/in the past five (5) years and the purchase price reflects the Fair Market Value.</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6539</v>
      </c>
      <c r="O1130" s="3047" t="s">
        <v>1731</v>
      </c>
      <c r="P1130" s="2135"/>
      <c r="Q1130" s="2135"/>
      <c r="R1130" s="2833" t="s">
        <v>6526</v>
      </c>
    </row>
    <row r="1131" spans="1:31" s="652" customFormat="1" ht="6.6" customHeight="1"/>
    <row r="1132" spans="1:31" s="652" customFormat="1">
      <c r="A1132" s="3064" t="s">
        <v>1842</v>
      </c>
      <c r="B1132" s="474" t="s">
        <v>6191</v>
      </c>
      <c r="D1132" s="3011"/>
      <c r="E1132" s="3011"/>
      <c r="F1132" s="3011"/>
      <c r="G1132" s="3011"/>
      <c r="H1132" s="3011"/>
      <c r="I1132" s="2550"/>
      <c r="J1132" s="2550"/>
      <c r="K1132" s="3064" t="s">
        <v>1842</v>
      </c>
      <c r="L1132" s="3000" t="str">
        <f>'Part VII-Threshold Criteria'!L94</f>
        <v>Geotechnical &amp; Environmental Consultants, Inc, A Terracon Co.</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f>'Part VII-Threshold Criteria'!K96</f>
        <v>44653</v>
      </c>
      <c r="L1134" s="3077"/>
      <c r="N1134" s="1024" t="s">
        <v>6528</v>
      </c>
      <c r="P1134" s="3076">
        <f>'Part VII-Threshold Criteria'!P96</f>
        <v>44701</v>
      </c>
      <c r="Q1134" s="3077"/>
    </row>
    <row r="1135" spans="1:31" s="652" customFormat="1" ht="12" customHeight="1">
      <c r="A1135" s="3064" t="s">
        <v>1844</v>
      </c>
      <c r="B1135" s="474" t="s">
        <v>6638</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 Inc, A Terracon Co.</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&lt;65 dB</v>
      </c>
      <c r="Q1138" s="2976"/>
    </row>
    <row r="1139" spans="1:17" s="652" customFormat="1" ht="12" customHeight="1">
      <c r="A1139" s="2950"/>
      <c r="B1139" s="2923" t="s">
        <v>1617</v>
      </c>
      <c r="C1139" s="474" t="s">
        <v>3788</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6624</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6626</v>
      </c>
      <c r="E1143" s="3079" t="s">
        <v>2241</v>
      </c>
      <c r="F1143" s="2971" t="s">
        <v>6627</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6628</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6626</v>
      </c>
      <c r="E1146" s="3079" t="s">
        <v>2241</v>
      </c>
      <c r="F1146" s="2971" t="s">
        <v>6629</v>
      </c>
      <c r="G1146" s="2914"/>
      <c r="H1146" s="2971"/>
      <c r="I1146" s="2914"/>
      <c r="J1146" s="2914"/>
      <c r="K1146" s="3080"/>
      <c r="L1146" s="3081"/>
      <c r="O1146" s="3079" t="s">
        <v>2241</v>
      </c>
      <c r="P1146" s="3083">
        <f>'Part VII-Threshold Criteria'!P108</f>
        <v>0.3</v>
      </c>
      <c r="Q1146" s="3084"/>
    </row>
    <row r="1147" spans="1:17" ht="12" customHeight="1">
      <c r="A1147" s="3079"/>
      <c r="B1147" s="3079"/>
      <c r="E1147" s="3079" t="s">
        <v>2242</v>
      </c>
      <c r="F1147" s="2971" t="s">
        <v>6630</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3861</v>
      </c>
      <c r="I1149" s="474" t="s">
        <v>2502</v>
      </c>
      <c r="J1149" s="3066" t="str">
        <f>'Part VII-Threshold Criteria'!J111</f>
        <v>No</v>
      </c>
      <c r="K1149" s="2976"/>
      <c r="L1149" s="3064" t="s">
        <v>3865</v>
      </c>
      <c r="M1149" s="3046" t="s">
        <v>6196</v>
      </c>
      <c r="P1149" s="3066" t="str">
        <f>'Part VII-Threshold Criteria'!P111</f>
        <v>No</v>
      </c>
      <c r="Q1149" s="2976"/>
    </row>
    <row r="1150" spans="1:17" s="652" customFormat="1" ht="12.75" customHeight="1">
      <c r="B1150" s="2923" t="s">
        <v>1616</v>
      </c>
      <c r="C1150" s="474" t="s">
        <v>6192</v>
      </c>
      <c r="E1150" s="3011"/>
      <c r="F1150" s="3066" t="str">
        <f>'Part VII-Threshold Criteria'!F112</f>
        <v>No</v>
      </c>
      <c r="G1150" s="2976"/>
      <c r="H1150" s="3064" t="s">
        <v>3862</v>
      </c>
      <c r="I1150" s="474" t="s">
        <v>6112</v>
      </c>
      <c r="J1150" s="3066" t="str">
        <f>'Part VII-Threshold Criteria'!J112</f>
        <v>No</v>
      </c>
      <c r="K1150" s="2976"/>
      <c r="L1150" s="3064" t="s">
        <v>3866</v>
      </c>
      <c r="M1150" s="1024" t="s">
        <v>3283</v>
      </c>
      <c r="O1150" s="2963"/>
      <c r="P1150" s="3066" t="str">
        <f>'Part VII-Threshold Criteria'!P112</f>
        <v>No</v>
      </c>
      <c r="Q1150" s="2976"/>
    </row>
    <row r="1151" spans="1:17" s="652" customFormat="1" ht="12" customHeight="1">
      <c r="A1151" s="474"/>
      <c r="B1151" s="2923" t="s">
        <v>1617</v>
      </c>
      <c r="C1151" s="474" t="s">
        <v>6193</v>
      </c>
      <c r="E1151" s="3011"/>
      <c r="F1151" s="3066" t="str">
        <f>'Part VII-Threshold Criteria'!F113</f>
        <v>No</v>
      </c>
      <c r="G1151" s="2976"/>
      <c r="H1151" s="3064" t="s">
        <v>3863</v>
      </c>
      <c r="I1151" s="474" t="s">
        <v>6113</v>
      </c>
      <c r="J1151" s="3066" t="str">
        <f>'Part VII-Threshold Criteria'!J113</f>
        <v>No</v>
      </c>
      <c r="K1151" s="2976"/>
      <c r="L1151" s="3064" t="s">
        <v>3867</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3864</v>
      </c>
      <c r="I1152" s="1024" t="s">
        <v>6194</v>
      </c>
      <c r="J1152" s="3066" t="str">
        <f>'Part VII-Threshold Criteria'!J114</f>
        <v>No</v>
      </c>
      <c r="K1152" s="2976"/>
      <c r="L1152" s="3064" t="s">
        <v>6195</v>
      </c>
      <c r="M1152" s="1024" t="s">
        <v>6114</v>
      </c>
      <c r="P1152" s="3066" t="str">
        <f>'Part VII-Threshold Criteria'!P114</f>
        <v>No</v>
      </c>
      <c r="Q1152" s="2976"/>
    </row>
    <row r="1153" spans="1:31" s="652" customFormat="1" ht="12" customHeight="1">
      <c r="A1153" s="474"/>
      <c r="B1153" s="3064" t="s">
        <v>6530</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3849</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3953</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6858</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5">
      <c r="A1163" s="3049" t="str">
        <f>'Part VII-Threshold Criteria'!A125</f>
        <v>Please see Tab 7 of the Application for the Environmental report.  Currently wetlands cover approximately 30.00% of the total site, however, the proposed site plan does not envision any construction/development activity occuring within the portion of the site covered by wetlands nor will there be any impact to the wetlands on the subject property. Applicant has not applied for HOME Funds.</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6539</v>
      </c>
      <c r="O1168" s="3047" t="s">
        <v>1731</v>
      </c>
      <c r="P1168" s="2135"/>
      <c r="Q1168" s="2135"/>
      <c r="R1168" s="2833" t="s">
        <v>6526</v>
      </c>
    </row>
    <row r="1169" spans="1:31" s="652" customFormat="1" ht="12" customHeight="1">
      <c r="A1169" s="3064" t="s">
        <v>1842</v>
      </c>
      <c r="B1169" s="2923" t="s">
        <v>1615</v>
      </c>
      <c r="C1169" s="474" t="s">
        <v>6804</v>
      </c>
      <c r="D1169" s="474"/>
      <c r="E1169" s="474"/>
      <c r="F1169" s="474"/>
      <c r="G1169" s="474"/>
      <c r="K1169" s="474" t="s">
        <v>2461</v>
      </c>
      <c r="M1169" s="3086">
        <f>'Part VII-Threshold Criteria'!M131</f>
        <v>45077</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Tift Magnlia Villas, LP</v>
      </c>
      <c r="L1172" s="2913"/>
      <c r="M1172" s="2913"/>
      <c r="N1172" s="2913"/>
      <c r="O1172" s="2913"/>
      <c r="P1172" s="2913"/>
      <c r="Q1172" s="2976"/>
    </row>
    <row r="1173" spans="1:31" s="652" customFormat="1" ht="21.75" customHeight="1">
      <c r="A1173" s="3058" t="s">
        <v>1963</v>
      </c>
      <c r="B1173" s="3053" t="s">
        <v>6197</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Please see Tab 8 for evidence of site control through 12/31/2021. Pre-Contract Agreement is not included as HOME Funds were not awarded to the project.</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3802</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3835</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proposed site is accessible by legally accessible paved roads. Please see Tab 9 for the required site access documentation.</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6539</v>
      </c>
      <c r="O1189" s="3047" t="s">
        <v>1731</v>
      </c>
      <c r="P1189" s="2135"/>
      <c r="Q1189" s="2135"/>
      <c r="R1189" s="2833" t="s">
        <v>6526</v>
      </c>
    </row>
    <row r="1190" spans="1:44" s="652" customFormat="1" ht="11.4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6115</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3837</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Please see Tab 10 for evidence the project is in compliance with zoning regulations and confirmed in writing by the authorized Local Government Official.</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6539</v>
      </c>
      <c r="O1207" s="3047" t="s">
        <v>1731</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 Company</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Operating Utiities Confirmed by Georgia Power. Please see Tab 11 for documentation. There will be no gas.</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6539</v>
      </c>
      <c r="O1215" s="3047" t="s">
        <v>1731</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Tifton</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Tifton</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6860</v>
      </c>
      <c r="E1219" s="474"/>
      <c r="F1219" s="474"/>
      <c r="G1219" s="474"/>
      <c r="H1219" s="474"/>
      <c r="I1219" s="474"/>
      <c r="J1219" s="474"/>
      <c r="K1219" s="2550"/>
      <c r="L1219" s="474"/>
      <c r="M1219" s="474"/>
      <c r="O1219" s="3058" t="s">
        <v>6509</v>
      </c>
      <c r="P1219" s="3066" t="str">
        <f>'Part VII-Threshold Criteria'!P181</f>
        <v>No</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Operating Utiities Confirmed by the City of Tifton. Please see Tab 12 for documentation.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6862</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3789</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6863</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3154</v>
      </c>
      <c r="O1235" s="3092">
        <f>'Part V-Revenues &amp; Expenses'!$P$67</f>
        <v>46</v>
      </c>
      <c r="P1235" s="3006" t="s">
        <v>3858</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3859</v>
      </c>
      <c r="D1236" s="474"/>
      <c r="E1236" s="474"/>
      <c r="F1236" s="474"/>
      <c r="H1236" s="3064" t="s">
        <v>3860</v>
      </c>
      <c r="I1236" s="474" t="s">
        <v>6864</v>
      </c>
      <c r="M1236" s="2550"/>
      <c r="N1236" s="2550"/>
      <c r="O1236" s="2822"/>
      <c r="P1236" s="2936" t="s">
        <v>721</v>
      </c>
      <c r="Q1236" s="2936" t="s">
        <v>3857</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3868</v>
      </c>
      <c r="C1240" s="3060" t="str">
        <f>'Part VII-Threshold Criteria'!C202</f>
        <v>(Select an amenity from options provided here)</v>
      </c>
      <c r="D1240" s="3049"/>
      <c r="E1240" s="3049"/>
      <c r="F1240" s="3049"/>
      <c r="G1240" s="3049"/>
      <c r="H1240" s="3064" t="s">
        <v>3868</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6116</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6100</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3803</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There are no pre-approval forms included in the application and applicant agrees to provide the standard site amenities in conformance with the DCA Amenities Guidebook. The proposed project is HFOP 55+ tenancy and applicant agrees to provide the additional required amenities.</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6117</v>
      </c>
      <c r="C1255" s="2923"/>
      <c r="D1255" s="3052"/>
      <c r="E1255" s="3052"/>
      <c r="F1255" s="3052"/>
      <c r="G1255" s="3052"/>
      <c r="H1255" s="3052"/>
      <c r="I1255" s="3052"/>
      <c r="J1255" s="3052"/>
      <c r="K1255" s="3064" t="s">
        <v>6744</v>
      </c>
      <c r="L1255" s="3069" t="str">
        <f>'Part I-Project Identification'!$P$29</f>
        <v>Yes</v>
      </c>
      <c r="M1255" s="3052"/>
      <c r="O1255" s="3047" t="s">
        <v>1731</v>
      </c>
      <c r="P1255" s="2135"/>
      <c r="Q1255" s="2135"/>
    </row>
    <row r="1256" spans="1:44" s="652" customFormat="1" ht="11.25" customHeight="1">
      <c r="A1256" s="3058" t="s">
        <v>1842</v>
      </c>
      <c r="B1256" s="3046" t="s">
        <v>6120</v>
      </c>
    </row>
    <row r="1257" spans="1:44" s="652" customFormat="1" ht="10.5" customHeight="1">
      <c r="A1257" s="3058"/>
      <c r="B1257" s="474" t="s">
        <v>6122</v>
      </c>
      <c r="C1257" s="2550"/>
      <c r="D1257" s="2550"/>
      <c r="E1257" s="2550"/>
      <c r="F1257" s="2550"/>
      <c r="G1257" s="2550"/>
      <c r="H1257" s="2550"/>
      <c r="I1257" s="2550"/>
      <c r="J1257" s="3096" t="s">
        <v>6121</v>
      </c>
      <c r="K1257" s="474" t="s">
        <v>6122</v>
      </c>
      <c r="L1257" s="2550"/>
      <c r="M1257" s="2550"/>
      <c r="N1257" s="2550"/>
      <c r="O1257" s="2550"/>
      <c r="P1257" s="2550"/>
      <c r="Q1257" s="3096" t="s">
        <v>6121</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6123</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6119</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6118</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Applicant is not proposing a community service facility.</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3954</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6199</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6200</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6201</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6211</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6212</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proposed project is new construction.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4033</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4059</v>
      </c>
      <c r="D1298" s="3053"/>
      <c r="E1298" s="3053"/>
      <c r="F1298" s="3053"/>
      <c r="G1298" s="3053"/>
      <c r="H1298" s="3053"/>
      <c r="I1298" s="3053"/>
      <c r="J1298" s="3053"/>
      <c r="K1298" s="3053"/>
      <c r="L1298" s="3053"/>
      <c r="M1298" s="3053"/>
      <c r="N1298" s="3053"/>
      <c r="O1298" s="3047" t="s">
        <v>4060</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6124</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All relevant site information is in Tab 16 of the application.</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6199</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6203</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3850</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6202</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6204</v>
      </c>
      <c r="D1313" s="2550"/>
      <c r="E1313" s="2550"/>
      <c r="N1313" s="3105" t="s">
        <v>6205</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5">
      <c r="A1315" s="3049" t="str">
        <f>'Part VII-Threshold Criteria'!A277</f>
        <v xml:space="preserve">Applicant agrees that the proposed property will comply with Georgia State Minimum Standard Energy Code in effect at the time of permit issuance. Proof of compliance will be submitted prior to release of 8609's. Applicant agrees that the final construction documentswill clearly indicate all components of the building envelope and all materials and equipment will meet the requirements set forth in the QAP and DCA Architectural Manual. Please see Tab 17 for draft scoring worksheet.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6199</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6206</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6806</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3388</v>
      </c>
      <c r="K1328" s="3110">
        <f>'Part VII-Threshold Criteria'!K290</f>
        <v>3</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07">IF(AB1328="","",IF(AB1328&lt;AD1328,"Check!!!",""))</f>
        <v/>
      </c>
      <c r="AB1328" s="2726" t="str">
        <f t="shared" si="407"/>
        <v/>
      </c>
      <c r="AC1328" s="2726" t="str">
        <f t="shared" si="407"/>
        <v/>
      </c>
      <c r="AD1328" s="2726" t="str">
        <f t="shared" si="407"/>
        <v/>
      </c>
      <c r="AE1328" s="2726" t="str">
        <f t="shared" si="407"/>
        <v/>
      </c>
      <c r="AF1328" s="2726" t="str">
        <f t="shared" si="407"/>
        <v/>
      </c>
      <c r="AG1328" s="2726" t="str">
        <f t="shared" si="407"/>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6807</v>
      </c>
      <c r="E1329" s="3053"/>
      <c r="F1329" s="3053"/>
      <c r="G1329" s="3053"/>
      <c r="H1329" s="3053"/>
      <c r="I1329" s="3112" t="s">
        <v>3389</v>
      </c>
      <c r="J1329" s="2681"/>
      <c r="K1329" s="3110">
        <f>'Part VII-Threshold Criteria'!K291</f>
        <v>3</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08">IF(AB1330="","",IF(AB1330&lt;AD1330,"Check!!!",""))</f>
        <v/>
      </c>
      <c r="AB1330" s="2726" t="str">
        <f t="shared" si="408"/>
        <v/>
      </c>
      <c r="AC1330" s="2726" t="str">
        <f t="shared" si="408"/>
        <v/>
      </c>
      <c r="AD1330" s="2726" t="str">
        <f t="shared" si="408"/>
        <v/>
      </c>
      <c r="AE1330" s="2726" t="str">
        <f t="shared" si="408"/>
        <v/>
      </c>
      <c r="AF1330" s="2726" t="str">
        <f t="shared" si="408"/>
        <v/>
      </c>
      <c r="AG1330" s="2726" t="str">
        <f t="shared" si="408"/>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3390</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09">IF(AB1333="","",IF(AB1333&lt;AD1333,"Check!!!",""))</f>
        <v/>
      </c>
      <c r="AB1333" s="2726" t="str">
        <f t="shared" si="409"/>
        <v/>
      </c>
      <c r="AC1333" s="2726" t="str">
        <f t="shared" si="409"/>
        <v/>
      </c>
      <c r="AD1333" s="2726" t="str">
        <f t="shared" si="409"/>
        <v/>
      </c>
      <c r="AE1333" s="2726" t="str">
        <f t="shared" si="409"/>
        <v/>
      </c>
      <c r="AF1333" s="2726" t="str">
        <f t="shared" si="409"/>
        <v/>
      </c>
      <c r="AG1333" s="2726" t="str">
        <f t="shared" si="409"/>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3836</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303.75">
      <c r="A1342" s="3049" t="str">
        <f>'Part VII-Threshold Criteria'!A304</f>
        <v>If selected for funding, Applicant agrees to retain a DCA qualified consultant to monitor the project for accessibility compliance who will not be a member of the project team nor have an identity of interest with any member of the project team.</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3790</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6125</v>
      </c>
      <c r="D1355" s="3053"/>
      <c r="E1355" s="3053"/>
      <c r="F1355" s="3053"/>
      <c r="G1355" s="2692" t="s">
        <v>6126</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6306</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6307</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6776</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 xml:space="preserve">Applicant agrees to meet all DCA requirements per the 2022 QAP and Architectural Standards and also agrees to provide free high-speed Wi-Fi internet access in the community building throughout the entirety of the compliance and extended use period.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3374</v>
      </c>
      <c r="B1364" s="2915" t="s">
        <v>6540</v>
      </c>
      <c r="C1364" s="2906"/>
      <c r="D1364" s="3052"/>
      <c r="E1364" s="3052"/>
      <c r="F1364" s="3052"/>
      <c r="G1364" s="3052"/>
      <c r="H1364" s="3052"/>
      <c r="N1364" s="2833" t="s">
        <v>6539</v>
      </c>
      <c r="O1364" s="3047" t="s">
        <v>1731</v>
      </c>
      <c r="P1364" s="2135"/>
      <c r="Q1364" s="2135"/>
      <c r="R1364" s="2833" t="s">
        <v>6526</v>
      </c>
    </row>
    <row r="1365" spans="1:44" s="652" customFormat="1" ht="11.45" customHeight="1">
      <c r="A1365" s="3064" t="s">
        <v>1842</v>
      </c>
      <c r="B1365" s="1024" t="s">
        <v>6535</v>
      </c>
      <c r="O1365" s="3058" t="s">
        <v>1842</v>
      </c>
      <c r="P1365" s="3066" t="str">
        <f>'Part VII-Threshold Criteria'!P327</f>
        <v>Yes</v>
      </c>
      <c r="Q1365" s="2976"/>
    </row>
    <row r="1366" spans="1:44" s="652" customFormat="1" ht="11.45" customHeight="1">
      <c r="A1366" s="3058" t="s">
        <v>1844</v>
      </c>
      <c r="B1366" s="1024" t="s">
        <v>6542</v>
      </c>
      <c r="O1366" s="3058" t="s">
        <v>1844</v>
      </c>
      <c r="P1366" s="3066" t="str">
        <f>'Part VII-Threshold Criteria'!P328</f>
        <v>Yes</v>
      </c>
      <c r="Q1366" s="2976"/>
    </row>
    <row r="1367" spans="1:44" s="652" customFormat="1" ht="11.45" customHeight="1">
      <c r="A1367" s="3058" t="s">
        <v>698</v>
      </c>
      <c r="B1367" s="1024" t="s">
        <v>6543</v>
      </c>
      <c r="K1367" s="2822"/>
      <c r="M1367" s="3058" t="s">
        <v>698</v>
      </c>
      <c r="N1367" s="2698" t="str">
        <f>'Part VII-Threshold Criteria'!N329</f>
        <v>No</v>
      </c>
      <c r="O1367" s="2698"/>
      <c r="P1367" s="2719" t="s">
        <v>1647</v>
      </c>
      <c r="Q1367" s="2719"/>
    </row>
    <row r="1368" spans="1:44" s="652" customFormat="1" ht="11.45" customHeight="1">
      <c r="A1368" s="3064" t="s">
        <v>1963</v>
      </c>
      <c r="B1368" s="1024" t="s">
        <v>6544</v>
      </c>
      <c r="O1368" s="3064" t="s">
        <v>1963</v>
      </c>
      <c r="P1368" s="3066" t="str">
        <f>'Part VII-Threshold Criteria'!P330</f>
        <v>No</v>
      </c>
      <c r="Q1368" s="2976"/>
    </row>
    <row r="1369" spans="1:44" s="652" customFormat="1" ht="11.45" customHeight="1">
      <c r="A1369" s="3058" t="s">
        <v>1613</v>
      </c>
      <c r="B1369" s="1024" t="s">
        <v>6545</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certifying entity met the experience requirements in 2021. Please see Tab 20 for the Qaulification Determination letter. There have been no changes to the project team since pre-application.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3377</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6548</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6809</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6128</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46</v>
      </c>
      <c r="F1381" s="474" t="s">
        <v>3897</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6810</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46</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6549</v>
      </c>
      <c r="H1385" s="3119"/>
      <c r="I1385" s="3119"/>
      <c r="J1385" s="3119"/>
      <c r="K1385" s="3119"/>
      <c r="L1385" s="3119"/>
      <c r="M1385" s="3119"/>
      <c r="N1385" s="3089"/>
      <c r="O1385" s="3064" t="s">
        <v>4060</v>
      </c>
      <c r="P1385" s="3120">
        <f>'Part VII-Threshold Criteria'!P347</f>
        <v>0</v>
      </c>
      <c r="Q1385" s="2860"/>
    </row>
    <row r="1386" spans="1:44" s="652" customFormat="1">
      <c r="A1386" s="3058"/>
      <c r="B1386" s="3061"/>
      <c r="C1386" s="474" t="s">
        <v>1668</v>
      </c>
      <c r="D1386" s="474"/>
      <c r="E1386" s="3092">
        <f>'Part V-Revenues &amp; Expenses'!$P$67</f>
        <v>46</v>
      </c>
      <c r="F1386" s="474" t="s">
        <v>3897</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Not applicable.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t="str">
        <f>'Part VII-Threshold Criteria'!I355</f>
        <v>Volunteers of American Southeast, Inc.</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t="str">
        <f>'Part VII-Threshold Criteria'!I356</f>
        <v>www.voase.org</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t="str">
        <f>'Part VII-Threshold Criteria'!P357</f>
        <v>Yes</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t="str">
        <f>'Part VII-Threshold Criteria'!P358</f>
        <v>Yes</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t="str">
        <f>'Part VII-Threshold Criteria'!P359</f>
        <v>Yes</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t="str">
        <f>'Part VII-Threshold Criteria'!P360</f>
        <v>Yes</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t="str">
        <f>'Part VII-Threshold Criteria'!P361</f>
        <v>Yes</v>
      </c>
      <c r="Q1399" s="3059"/>
    </row>
    <row r="1400" spans="1:31" s="2980" customFormat="1">
      <c r="C1400" s="3061" t="s">
        <v>6866</v>
      </c>
      <c r="E1400" s="3052"/>
      <c r="F1400" s="3052"/>
      <c r="G1400" s="3052"/>
      <c r="H1400" s="3052"/>
      <c r="I1400" s="3052"/>
      <c r="J1400" s="3052"/>
      <c r="K1400" s="3052"/>
      <c r="L1400" s="3052"/>
      <c r="M1400" s="3052"/>
      <c r="N1400" s="3052"/>
      <c r="P1400" s="3078" t="str">
        <f>'Part VII-Threshold Criteria'!P362</f>
        <v>No</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t="str">
        <f>'Part VII-Threshold Criteria'!P363</f>
        <v>No</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t="str">
        <f>'Part VII-Threshold Criteria'!P364</f>
        <v>Yes</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409.5">
      <c r="A1404" s="3049" t="str">
        <f>'Part VII-Threshold Criteria'!A366</f>
        <v>Please see Tab 22 for Non-profit information. The Applicant is not a CHDO and is not involved in a joint venture for the proposed project. The Applicant is also requesting consideration for the Exceptional Non-Profit points for the proposed project. Also in Tab 22 is the opinion of a third party attorney who specializes in tax law on the nonprofit's current federal tax exempt status.</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Not applicable.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3145</v>
      </c>
      <c r="D1420" s="3053"/>
      <c r="E1420" s="3053"/>
      <c r="O1420" s="3064" t="s">
        <v>1844</v>
      </c>
      <c r="P1420" s="3066" t="str">
        <f>'Part VII-Threshold Criteria'!P382</f>
        <v>No</v>
      </c>
      <c r="Q1420" s="2976"/>
    </row>
    <row r="1421" spans="1:31" s="652" customFormat="1" ht="12" customHeight="1">
      <c r="A1421" s="3064" t="s">
        <v>698</v>
      </c>
      <c r="B1421" s="474" t="s">
        <v>4034</v>
      </c>
      <c r="D1421" s="3053"/>
      <c r="E1421" s="3053"/>
      <c r="O1421" s="3064" t="s">
        <v>698</v>
      </c>
      <c r="P1421" s="3066" t="str">
        <f>'Part VII-Threshold Criteria'!P383</f>
        <v>Yes</v>
      </c>
      <c r="Q1421" s="2976"/>
    </row>
    <row r="1422" spans="1:31" s="652" customFormat="1" ht="12" customHeight="1">
      <c r="A1422" s="3064" t="s">
        <v>1963</v>
      </c>
      <c r="B1422" s="474" t="s">
        <v>3146</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Please see Tab 24 for the required legal opinion on the Nonpforit's Federal Tax Exempt Qualifiation status.</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3381</v>
      </c>
      <c r="B1429" s="2550" t="s">
        <v>3942</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6256</v>
      </c>
      <c r="O1430" s="3064"/>
      <c r="P1430" s="3066">
        <f>'Part VII-Threshold Criteria'!P392</f>
        <v>0</v>
      </c>
      <c r="Q1430" s="2976"/>
    </row>
    <row r="1431" spans="1:31" s="652" customFormat="1" ht="12" customHeight="1">
      <c r="A1431" s="3064" t="s">
        <v>1842</v>
      </c>
      <c r="B1431" s="474" t="s">
        <v>3941</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4035</v>
      </c>
      <c r="D1433" s="1024" t="s">
        <v>4036</v>
      </c>
      <c r="E1433" s="2550"/>
      <c r="F1433" s="2550"/>
      <c r="G1433" s="2550"/>
      <c r="H1433" s="2550"/>
      <c r="I1433" s="2550"/>
      <c r="J1433" s="2550"/>
      <c r="K1433" s="2550"/>
      <c r="L1433" s="2550"/>
      <c r="M1433" s="2550"/>
      <c r="N1433" s="2550"/>
      <c r="O1433" s="3064" t="s">
        <v>4035</v>
      </c>
      <c r="P1433" s="3060">
        <f>'Part VII-Threshold Criteria'!P395</f>
        <v>0</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3945</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6156</v>
      </c>
      <c r="D1438" s="3053"/>
      <c r="E1438" s="3053"/>
      <c r="F1438" s="3053"/>
      <c r="G1438" s="474" t="s">
        <v>3946</v>
      </c>
      <c r="J1438" s="2945">
        <f>'Part VII-Threshold Criteria'!J400</f>
        <v>0</v>
      </c>
      <c r="K1438" s="2917"/>
      <c r="M1438" s="474" t="s">
        <v>6230</v>
      </c>
      <c r="P1438" s="2945">
        <f>'Part VII-Threshold Criteria'!P400</f>
        <v>0</v>
      </c>
      <c r="Q1438" s="2917"/>
    </row>
    <row r="1439" spans="1:31" s="652" customFormat="1" ht="12" customHeight="1">
      <c r="A1439" s="3064"/>
      <c r="C1439" s="3046"/>
      <c r="D1439" s="3053"/>
      <c r="E1439" s="3053"/>
      <c r="F1439" s="3053"/>
      <c r="G1439" s="474" t="s">
        <v>6229</v>
      </c>
      <c r="J1439" s="2945">
        <f>'Part VII-Threshold Criteria'!J401</f>
        <v>0</v>
      </c>
      <c r="K1439" s="2917"/>
      <c r="M1439" s="474" t="s">
        <v>6231</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6186</v>
      </c>
      <c r="J1441" s="3068" t="s">
        <v>6187</v>
      </c>
      <c r="K1441" s="3006" t="s">
        <v>6189</v>
      </c>
      <c r="L1441" s="3068"/>
      <c r="M1441" s="3068"/>
      <c r="N1441" s="3068" t="s">
        <v>6188</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6300</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10">IF(AB1445="","",IF(AB1445&lt;AD1445,"Check!!!",""))</f>
        <v/>
      </c>
      <c r="AB1445" s="2726" t="str">
        <f t="shared" si="410"/>
        <v/>
      </c>
      <c r="AC1445" s="2726" t="str">
        <f t="shared" si="410"/>
        <v/>
      </c>
      <c r="AD1445" s="2726" t="str">
        <f t="shared" si="410"/>
        <v/>
      </c>
      <c r="AE1445" s="2726" t="str">
        <f t="shared" si="410"/>
        <v/>
      </c>
      <c r="AF1445" s="2726" t="str">
        <f t="shared" si="410"/>
        <v/>
      </c>
      <c r="AG1445" s="2726" t="str">
        <f t="shared" si="410"/>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6190</v>
      </c>
      <c r="E1446" s="3046"/>
      <c r="F1446" s="3046"/>
      <c r="G1446" s="3046"/>
      <c r="H1446" s="3046"/>
      <c r="I1446" s="2803">
        <f>K1329</f>
        <v>3</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11">IF(AB1447="","",IF(AB1447&lt;AD1447,"Check!!!",""))</f>
        <v/>
      </c>
      <c r="AB1447" s="2726" t="str">
        <f t="shared" si="411"/>
        <v/>
      </c>
      <c r="AC1447" s="2726" t="str">
        <f t="shared" si="411"/>
        <v/>
      </c>
      <c r="AD1447" s="2726" t="str">
        <f t="shared" si="411"/>
        <v/>
      </c>
      <c r="AE1447" s="2726" t="str">
        <f t="shared" si="411"/>
        <v/>
      </c>
      <c r="AF1447" s="2726" t="str">
        <f t="shared" si="411"/>
        <v/>
      </c>
      <c r="AG1447" s="2726" t="str">
        <f t="shared" si="411"/>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6301</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3838</v>
      </c>
      <c r="E1452" s="2923"/>
      <c r="F1452" s="2923"/>
      <c r="G1452" s="2923"/>
      <c r="J1452" s="2550"/>
      <c r="K1452" s="2923"/>
      <c r="L1452" s="2923"/>
      <c r="M1452" s="2550"/>
      <c r="N1452" s="3064"/>
      <c r="P1452" s="3064"/>
      <c r="Q1452" s="3064"/>
    </row>
    <row r="1453" spans="1:44" s="652" customFormat="1" ht="12" customHeight="1">
      <c r="A1453" s="3064"/>
      <c r="B1453" s="1024"/>
      <c r="C1453" s="2923" t="s">
        <v>6233</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6234</v>
      </c>
      <c r="E1454" s="3089" t="s">
        <v>2264</v>
      </c>
      <c r="F1454" s="1024" t="s">
        <v>3288</v>
      </c>
      <c r="G1454" s="2913">
        <f>'Part VII-Threshold Criteria'!G416</f>
        <v>0</v>
      </c>
      <c r="H1454" s="2913"/>
      <c r="I1454" s="2913"/>
      <c r="J1454" s="2913"/>
      <c r="K1454" s="2913"/>
      <c r="L1454" s="3089"/>
    </row>
    <row r="1455" spans="1:44" s="652" customFormat="1" ht="12" customHeight="1">
      <c r="D1455" s="3068"/>
      <c r="E1455" s="3089" t="s">
        <v>3943</v>
      </c>
      <c r="F1455" s="1024" t="s">
        <v>3944</v>
      </c>
      <c r="G1455" s="2913" t="str">
        <f>'Part VII-Threshold Criteria'!G417</f>
        <v>&lt;&lt; Select &gt;&gt;</v>
      </c>
      <c r="H1455" s="2913"/>
      <c r="I1455" s="2913"/>
      <c r="J1455" s="1024" t="s">
        <v>3805</v>
      </c>
      <c r="M1455" s="2913">
        <f>'Part VII-Threshold Criteria'!M417</f>
        <v>0</v>
      </c>
      <c r="N1455" s="2913"/>
      <c r="O1455" s="2913"/>
      <c r="P1455" s="2913"/>
      <c r="Q1455" s="2913"/>
    </row>
    <row r="1456" spans="1:44" s="652" customFormat="1" ht="12" customHeight="1">
      <c r="A1456" s="2550"/>
      <c r="C1456" s="1024" t="s">
        <v>6232</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3804</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4037</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112.5">
      <c r="A1462" s="3049" t="str">
        <f>'Part VII-Threshold Criteria'!A424</f>
        <v>Proposed project is not an opccupied development. The property is currently vacant land.</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3382</v>
      </c>
      <c r="B1466" s="2550" t="s">
        <v>2510</v>
      </c>
      <c r="C1466" s="2550"/>
      <c r="D1466" s="474"/>
      <c r="E1466" s="3052"/>
      <c r="F1466" s="3052"/>
      <c r="G1466" s="3052"/>
      <c r="H1466" s="3052"/>
      <c r="O1466" s="3047" t="s">
        <v>1731</v>
      </c>
      <c r="P1466" s="2135"/>
      <c r="Q1466" s="2135"/>
    </row>
    <row r="1467" spans="1:31" s="652" customFormat="1" ht="14.1" customHeight="1">
      <c r="B1467" s="474" t="s">
        <v>3900</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3870</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3871</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3872</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3873</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3921</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3922</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3955</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Applicant will prepare and submit an AFFH Marketing Plan with the required support documentation if selected for funding.</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3806</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applicant believes that the proposed project is an optimal utilization of resources.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Magnolia Villas,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69</v>
      </c>
      <c r="P1497" s="3132">
        <f>P1932</f>
        <v>25</v>
      </c>
      <c r="Q1497" s="3133" t="s">
        <v>6869</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6139</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6140</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6500</v>
      </c>
      <c r="G1503" s="3020"/>
      <c r="H1503" s="3020"/>
      <c r="I1503" s="3020"/>
      <c r="J1503" s="3020"/>
      <c r="K1503" s="3020"/>
      <c r="L1503" s="3020"/>
      <c r="M1503" s="3020"/>
      <c r="N1503" s="3020"/>
      <c r="O1503" s="3137" t="s">
        <v>3813</v>
      </c>
      <c r="P1503" s="2976">
        <f>SUM(P1504:P1522)</f>
        <v>0</v>
      </c>
      <c r="Q1503" s="3053" t="s">
        <v>6872</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4041</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4042</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4044</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4056</v>
      </c>
      <c r="B1511" s="2749" t="s">
        <v>4045</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6248</v>
      </c>
      <c r="B1512" s="2749" t="s">
        <v>4046</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6136</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3806</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6141</v>
      </c>
      <c r="C1524" s="3106"/>
      <c r="D1524" s="2530"/>
      <c r="E1524" s="2530"/>
      <c r="F1524" s="2530"/>
      <c r="G1524" s="3144" t="s">
        <v>6129</v>
      </c>
      <c r="H1524" s="3144"/>
      <c r="I1524" s="3144" t="s">
        <v>6510</v>
      </c>
      <c r="J1524" s="3144"/>
      <c r="K1524" s="3144"/>
      <c r="L1524" s="3144"/>
      <c r="M1524" s="2761" t="s">
        <v>6142</v>
      </c>
      <c r="N1524" s="2761"/>
      <c r="O1524" s="2761"/>
      <c r="P1524" s="2761"/>
      <c r="Q1524" s="2747"/>
      <c r="R1524" s="2747"/>
      <c r="S1524" s="2964" t="s">
        <v>6141</v>
      </c>
      <c r="T1524" s="2747"/>
      <c r="U1524" s="2747"/>
      <c r="V1524" s="2747"/>
      <c r="X1524" s="3144" t="s">
        <v>6129</v>
      </c>
      <c r="Y1524" s="3144"/>
      <c r="Z1524" s="3144" t="s">
        <v>6510</v>
      </c>
      <c r="AA1524" s="3144"/>
      <c r="AB1524" s="3144"/>
      <c r="AC1524" s="3144"/>
      <c r="AD1524" s="3144" t="s">
        <v>6129</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6130</v>
      </c>
      <c r="C1526" s="2833"/>
      <c r="D1526" s="1024"/>
      <c r="E1526" s="1024"/>
      <c r="F1526" s="1024"/>
      <c r="G1526" s="3146">
        <v>10</v>
      </c>
      <c r="H1526" s="3146">
        <v>10</v>
      </c>
      <c r="I1526" s="3146">
        <v>10</v>
      </c>
      <c r="J1526" s="3146">
        <v>10</v>
      </c>
      <c r="K1526" s="3146">
        <v>10</v>
      </c>
      <c r="L1526" s="3146">
        <v>10</v>
      </c>
      <c r="Q1526" s="2753"/>
      <c r="R1526" s="2802" t="s">
        <v>691</v>
      </c>
      <c r="S1526" s="2883" t="s">
        <v>6130</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6131</v>
      </c>
      <c r="C1527" s="2833"/>
      <c r="D1527" s="1024"/>
      <c r="E1527" s="1024"/>
      <c r="F1527" s="1024"/>
      <c r="G1527" s="3146">
        <v>3</v>
      </c>
      <c r="H1527" s="3146">
        <v>3</v>
      </c>
      <c r="I1527" s="3146"/>
      <c r="J1527" s="3146"/>
      <c r="K1527" s="3146"/>
      <c r="L1527" s="3146"/>
      <c r="M1527" s="2719" t="s">
        <v>6143</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6131</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4041</v>
      </c>
      <c r="C1529" s="2833"/>
      <c r="D1529" s="1024"/>
      <c r="E1529" s="1024"/>
      <c r="F1529" s="1024"/>
      <c r="G1529" s="3146">
        <v>6</v>
      </c>
      <c r="H1529" s="3146">
        <v>4</v>
      </c>
      <c r="I1529" s="3146"/>
      <c r="J1529" s="3146"/>
      <c r="K1529" s="3146"/>
      <c r="L1529" s="3146"/>
      <c r="Q1529" s="2753"/>
      <c r="R1529" s="2802" t="s">
        <v>496</v>
      </c>
      <c r="S1529" s="2883" t="s">
        <v>4041</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3340</v>
      </c>
      <c r="T1530" s="2692"/>
      <c r="U1530" s="474"/>
      <c r="V1530" s="474"/>
      <c r="W1530" s="474"/>
      <c r="X1530" s="3146">
        <f>O1642</f>
        <v>2</v>
      </c>
      <c r="Y1530" s="3146">
        <f>O1642</f>
        <v>2</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6564</v>
      </c>
      <c r="N1532" s="2692"/>
      <c r="O1532" s="2692"/>
      <c r="P1532" s="2707" t="str">
        <f>'Part VIII Scoring Criteria'!P41</f>
        <v>Yes</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4042</v>
      </c>
      <c r="C1533" s="2833"/>
      <c r="D1533" s="1024"/>
      <c r="E1533" s="1024"/>
      <c r="F1533" s="1024"/>
      <c r="G1533" s="3146">
        <v>10</v>
      </c>
      <c r="H1533" s="3146">
        <v>5</v>
      </c>
      <c r="I1533" s="3146"/>
      <c r="J1533" s="3146"/>
      <c r="K1533" s="3146"/>
      <c r="L1533" s="3146"/>
      <c r="M1533" s="2692" t="s">
        <v>3308</v>
      </c>
      <c r="N1533" s="2692"/>
      <c r="O1533" s="2692"/>
      <c r="P1533" s="2707" t="str">
        <f>'Part VIII Scoring Criteria'!P42</f>
        <v>No</v>
      </c>
      <c r="Q1533" s="2753"/>
      <c r="R1533" s="2802" t="s">
        <v>342</v>
      </c>
      <c r="S1533" s="2883" t="s">
        <v>4042</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6132</v>
      </c>
      <c r="C1534" s="2833"/>
      <c r="D1534" s="1024"/>
      <c r="E1534" s="1024"/>
      <c r="F1534" s="1024"/>
      <c r="G1534" s="3146">
        <v>1</v>
      </c>
      <c r="H1534" s="3146"/>
      <c r="I1534" s="3146"/>
      <c r="J1534" s="3146"/>
      <c r="K1534" s="3146"/>
      <c r="L1534" s="3146"/>
      <c r="M1534" s="2692" t="s">
        <v>6147</v>
      </c>
      <c r="N1534" s="2719"/>
      <c r="O1534" s="2719"/>
      <c r="P1534" s="2707" t="str">
        <f>'Part VIII Scoring Criteria'!P43</f>
        <v>No</v>
      </c>
      <c r="Q1534" s="2753"/>
      <c r="R1534" s="2802" t="s">
        <v>343</v>
      </c>
      <c r="S1534" s="2883" t="s">
        <v>6132</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6518</v>
      </c>
      <c r="N1535" s="2719"/>
      <c r="O1535" s="2847" t="s">
        <v>6146</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6133</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6133</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4046</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3371</v>
      </c>
      <c r="S1537" s="2883" t="s">
        <v>4046</v>
      </c>
      <c r="T1537" s="2692"/>
      <c r="U1537" s="474"/>
      <c r="V1537" s="474"/>
      <c r="W1537" s="474"/>
      <c r="X1537" s="3147">
        <f>O1742</f>
        <v>3</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3807</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3807</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t="str">
        <f>'Part VIII Scoring Criteria'!P48</f>
        <v>No</v>
      </c>
      <c r="R1539" s="2802" t="s">
        <v>3371</v>
      </c>
      <c r="S1539" s="2883" t="s">
        <v>6556</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3372</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t="str">
        <f>'Part II-Sources of Funds'!$L$14</f>
        <v>No</v>
      </c>
      <c r="R1540" s="2802" t="s">
        <v>3372</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6562</v>
      </c>
      <c r="C1541" s="2833"/>
      <c r="D1541" s="1024"/>
      <c r="E1541" s="1024"/>
      <c r="F1541" s="1024"/>
      <c r="G1541" s="3146">
        <v>2</v>
      </c>
      <c r="H1541" s="3146"/>
      <c r="I1541" s="3146"/>
      <c r="J1541" s="3146">
        <v>2</v>
      </c>
      <c r="K1541" s="3146">
        <v>2</v>
      </c>
      <c r="L1541" s="3146">
        <v>2</v>
      </c>
      <c r="Q1541" s="2753"/>
      <c r="R1541" s="2802" t="s">
        <v>3370</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6134</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3373</v>
      </c>
      <c r="S1542" s="2883" t="s">
        <v>6134</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6135</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6135</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6558</v>
      </c>
      <c r="C1547" s="2833"/>
      <c r="D1547" s="1024"/>
      <c r="E1547" s="1024"/>
      <c r="F1547" s="1024"/>
      <c r="G1547" s="3146">
        <v>3</v>
      </c>
      <c r="H1547" s="3146">
        <v>3</v>
      </c>
      <c r="I1547" s="3146">
        <v>3</v>
      </c>
      <c r="J1547" s="3146">
        <v>3</v>
      </c>
      <c r="K1547" s="3146">
        <v>3</v>
      </c>
      <c r="L1547" s="3146">
        <v>3</v>
      </c>
      <c r="R1547" s="2802" t="s">
        <v>3380</v>
      </c>
      <c r="S1547" s="2883" t="s">
        <v>6558</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6136</v>
      </c>
      <c r="C1548" s="2833"/>
      <c r="D1548" s="1024"/>
      <c r="E1548" s="1024"/>
      <c r="F1548" s="1024"/>
      <c r="G1548" s="3146"/>
      <c r="H1548" s="3146"/>
      <c r="I1548" s="3146">
        <v>6</v>
      </c>
      <c r="J1548" s="3146">
        <v>6</v>
      </c>
      <c r="K1548" s="3146">
        <v>6</v>
      </c>
      <c r="L1548" s="3146">
        <v>6</v>
      </c>
      <c r="M1548" s="3150" t="s">
        <v>6144</v>
      </c>
      <c r="N1548" s="3150"/>
      <c r="O1548" s="3150"/>
      <c r="P1548" s="3150"/>
      <c r="Q1548" s="2753"/>
      <c r="R1548" s="2802" t="s">
        <v>3381</v>
      </c>
      <c r="S1548" s="2883" t="s">
        <v>6136</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3806</v>
      </c>
      <c r="B1550" s="2883" t="s">
        <v>6560</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3806</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6249</v>
      </c>
      <c r="E1553" s="2135"/>
      <c r="F1553" s="2135"/>
      <c r="G1553" s="3022">
        <f t="shared" ref="G1553:L1553" si="412">SUM(G1526:G1551)</f>
        <v>114</v>
      </c>
      <c r="H1553" s="3022">
        <f t="shared" si="412"/>
        <v>69</v>
      </c>
      <c r="I1553" s="3022">
        <f t="shared" si="412"/>
        <v>55</v>
      </c>
      <c r="J1553" s="3022">
        <f t="shared" si="412"/>
        <v>61</v>
      </c>
      <c r="K1553" s="3022">
        <f t="shared" si="412"/>
        <v>63</v>
      </c>
      <c r="L1553" s="3022">
        <f t="shared" si="412"/>
        <v>61</v>
      </c>
      <c r="M1553" s="2910"/>
      <c r="N1553" s="2671"/>
      <c r="O1553" s="3012"/>
      <c r="P1553" s="2910"/>
      <c r="R1553" s="2550"/>
      <c r="S1553" s="2550"/>
      <c r="T1553" s="3106"/>
      <c r="U1553" s="3106"/>
      <c r="V1553" s="3106"/>
      <c r="W1553" s="3106"/>
      <c r="X1553" s="3153">
        <f t="shared" ref="X1553:AI1553" si="413">SUM(X1526:X1551)</f>
        <v>69</v>
      </c>
      <c r="Y1553" s="3153">
        <f t="shared" si="413"/>
        <v>61</v>
      </c>
      <c r="Z1553" s="3153">
        <f t="shared" si="413"/>
        <v>30</v>
      </c>
      <c r="AA1553" s="3153">
        <f t="shared" si="413"/>
        <v>32</v>
      </c>
      <c r="AB1553" s="3153">
        <f t="shared" si="413"/>
        <v>34</v>
      </c>
      <c r="AC1553" s="3153">
        <f t="shared" si="413"/>
        <v>34</v>
      </c>
      <c r="AD1553" s="3153">
        <f t="shared" si="413"/>
        <v>25</v>
      </c>
      <c r="AE1553" s="3153">
        <f t="shared" si="413"/>
        <v>25</v>
      </c>
      <c r="AF1553" s="3153">
        <f t="shared" si="413"/>
        <v>22</v>
      </c>
      <c r="AG1553" s="3153">
        <f t="shared" si="413"/>
        <v>22</v>
      </c>
      <c r="AH1553" s="3153">
        <f t="shared" si="413"/>
        <v>22</v>
      </c>
      <c r="AI1553" s="3153">
        <f t="shared" si="413"/>
        <v>22</v>
      </c>
    </row>
    <row r="1554" spans="1:35" s="2550" customFormat="1" ht="13.5" customHeight="1">
      <c r="A1554" s="3135" t="s">
        <v>691</v>
      </c>
      <c r="B1554" s="2964" t="s">
        <v>2498</v>
      </c>
      <c r="F1554" s="474"/>
      <c r="G1554" s="474"/>
      <c r="H1554" s="2692" t="s">
        <v>6874</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3808</v>
      </c>
      <c r="D1556" s="2135"/>
      <c r="E1556" s="2135"/>
      <c r="F1556" s="2976"/>
      <c r="N1556" s="3064" t="s">
        <v>1842</v>
      </c>
      <c r="P1556" s="2987">
        <f>SUM(P1557:P1559)</f>
        <v>0</v>
      </c>
      <c r="Q1556" s="474" t="s">
        <v>6875</v>
      </c>
    </row>
    <row r="1557" spans="1:35" s="3093" customFormat="1" ht="12.75" customHeight="1">
      <c r="A1557" s="2950"/>
      <c r="B1557" s="3155" t="s">
        <v>1845</v>
      </c>
      <c r="C1557" s="2135" t="s">
        <v>3811</v>
      </c>
      <c r="D1557" s="2135"/>
      <c r="E1557" s="2135"/>
      <c r="F1557" s="2976"/>
      <c r="H1557" s="2692" t="s">
        <v>3177</v>
      </c>
      <c r="J1557" s="2967"/>
      <c r="N1557" s="3156" t="s">
        <v>1845</v>
      </c>
      <c r="P1557" s="2987">
        <f>F1565</f>
        <v>0</v>
      </c>
    </row>
    <row r="1558" spans="1:35" s="3093" customFormat="1" ht="12.75" customHeight="1">
      <c r="A1558" s="2950"/>
      <c r="B1558" s="3155" t="s">
        <v>1847</v>
      </c>
      <c r="C1558" s="2135" t="s">
        <v>6876</v>
      </c>
      <c r="D1558" s="2135"/>
      <c r="E1558" s="2135"/>
      <c r="F1558" s="2976"/>
      <c r="H1558" s="2692" t="s">
        <v>3809</v>
      </c>
      <c r="J1558" s="2967"/>
      <c r="N1558" s="3156" t="s">
        <v>1847</v>
      </c>
      <c r="P1558" s="2987">
        <f>J1565</f>
        <v>0</v>
      </c>
    </row>
    <row r="1559" spans="1:35" s="3093" customFormat="1" ht="12.75" customHeight="1">
      <c r="A1559" s="2950"/>
      <c r="B1559" s="3155" t="s">
        <v>2333</v>
      </c>
      <c r="C1559" s="2135" t="s">
        <v>3810</v>
      </c>
      <c r="D1559" s="2135"/>
      <c r="E1559" s="2135"/>
      <c r="F1559" s="2976"/>
      <c r="H1559" s="2692" t="s">
        <v>3814</v>
      </c>
      <c r="J1559" s="2967"/>
      <c r="N1559" s="3156" t="s">
        <v>2333</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6877</v>
      </c>
      <c r="J1562" s="2967"/>
      <c r="M1562" s="2910"/>
      <c r="N1562" s="3064" t="s">
        <v>1844</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3392</v>
      </c>
      <c r="G1564" s="3011" t="s">
        <v>6778</v>
      </c>
      <c r="H1564" s="3011"/>
      <c r="I1564" s="3011"/>
      <c r="J1564" s="2822" t="s">
        <v>3392</v>
      </c>
      <c r="K1564" s="3006" t="s">
        <v>6779</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3929</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3821</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6879</v>
      </c>
      <c r="E1581" s="474"/>
      <c r="G1581" s="3006"/>
      <c r="H1581" s="1024" t="s">
        <v>6653</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3815</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3816</v>
      </c>
      <c r="D1584" s="474"/>
      <c r="H1584" s="474" t="s">
        <v>3817</v>
      </c>
      <c r="I1584" s="2692"/>
      <c r="J1584" s="3172">
        <f>'Part V-Revenues &amp; Expenses'!B1541</f>
        <v>0</v>
      </c>
      <c r="L1584" s="3161" t="str">
        <f>IF(AND(O1584&gt;0,O1585&gt;0), "CHOOSE EITHER A OR B, NOT BOTH!", "")</f>
        <v/>
      </c>
      <c r="M1584" s="2917">
        <v>2</v>
      </c>
      <c r="N1584" s="3157" t="s">
        <v>1845</v>
      </c>
      <c r="O1584" s="3173">
        <f>'Part VIII Scoring Criteria'!O93</f>
        <v>2</v>
      </c>
      <c r="P1584" s="3012"/>
      <c r="Q1584" s="3104" t="str">
        <f>IF(OR($O1584=$M1584,$O1584=0,$O1584=""),"","*CHECK!*")</f>
        <v/>
      </c>
      <c r="R1584" s="2694" t="s">
        <v>4062</v>
      </c>
    </row>
    <row r="1585" spans="1:18" s="3106" customFormat="1" ht="13.5" customHeight="1">
      <c r="A1585" s="3064" t="s">
        <v>2986</v>
      </c>
      <c r="B1585" s="3170" t="s">
        <v>1847</v>
      </c>
      <c r="C1585" s="3171" t="s">
        <v>3818</v>
      </c>
      <c r="D1585" s="474"/>
      <c r="I1585" s="2692"/>
      <c r="K1585" s="474"/>
      <c r="L1585" s="3161"/>
      <c r="M1585" s="2917">
        <v>2</v>
      </c>
      <c r="N1585" s="3157" t="s">
        <v>1847</v>
      </c>
      <c r="O1585" s="3173">
        <f>'Part VIII Scoring Criteria'!O94</f>
        <v>0</v>
      </c>
      <c r="P1585" s="3012"/>
      <c r="Q1585" s="3104" t="str">
        <f>IF(OR($O1585=$M1585,$O1585=0,$O1585=""),"","*CHECK!*")</f>
        <v/>
      </c>
      <c r="R1585" s="2694" t="s">
        <v>4062</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6880</v>
      </c>
      <c r="E1587" s="3006"/>
      <c r="H1587" s="2692" t="s">
        <v>3819</v>
      </c>
      <c r="I1587" s="2692"/>
      <c r="J1587" s="3174" t="s">
        <v>3820</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6881</v>
      </c>
      <c r="J1596" s="2849"/>
      <c r="K1596" s="2849"/>
      <c r="L1596" s="2849"/>
      <c r="M1596" s="2917">
        <v>20</v>
      </c>
      <c r="N1596" s="3157" t="s">
        <v>1842</v>
      </c>
      <c r="O1596" s="3181">
        <f>'Part VIII Scoring Criteria'!O105</f>
        <v>20</v>
      </c>
      <c r="P1596" s="3182"/>
      <c r="Q1596" s="3104"/>
      <c r="R1596" s="2694" t="s">
        <v>4062</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4062</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project location is within 2.5 miles walking/driving from numerous desirables, including, but not limited to, a grocery store, public school, restaurants, pharmacy, place of worship, FDIC bank and others. The project is eligible for the full 20 desirable points in this section. There are no undesirables. The property does fall within a USDA Food Desert using the most recent USDA data available and showing "LI and LA at 1 and 20 miles" layer, however there is a Publix Grocery store within 1.7 miles from the projects location as well as a Walmart Supercenter within 1.6 miles.</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6148</v>
      </c>
      <c r="I1603" s="2847" t="s">
        <v>6144</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3822</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3823</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6150</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31.459440000000001</v>
      </c>
      <c r="G1614" s="2711"/>
      <c r="H1614" s="3190"/>
      <c r="I1614" s="3190"/>
      <c r="J1614" s="2711">
        <f>'Part VIII Scoring Criteria'!J123</f>
        <v>-83.550449999999998</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6151</v>
      </c>
      <c r="F1615" s="2711">
        <f>'Part VIII Scoring Criteria'!F124</f>
        <v>31.459440000000001</v>
      </c>
      <c r="G1615" s="2711"/>
      <c r="H1615" s="3190"/>
      <c r="I1615" s="3190"/>
      <c r="J1615" s="2711">
        <f>'Part VIII Scoring Criteria'!J124</f>
        <v>-83.550449999999998</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6885</v>
      </c>
      <c r="M1621" s="2910">
        <v>6</v>
      </c>
      <c r="N1621" s="3156" t="s">
        <v>1842</v>
      </c>
      <c r="O1621" s="3132">
        <f>'Part VIII Scoring Criteria'!O130</f>
        <v>0</v>
      </c>
      <c r="P1621" s="3132">
        <f>'Part VIII Scoring Criteria'!P130</f>
        <v>0</v>
      </c>
      <c r="Q1621" s="2910"/>
    </row>
    <row r="1622" spans="1:21" s="3093" customFormat="1" ht="12.6" customHeight="1">
      <c r="A1622" s="3067"/>
      <c r="B1622" s="474" t="s">
        <v>6152</v>
      </c>
      <c r="D1622" s="3180"/>
      <c r="F1622" s="2967"/>
      <c r="M1622" s="2910"/>
      <c r="N1622" s="3156"/>
      <c r="O1622" s="3066" t="str">
        <f>'Part VIII Scoring Criteria'!O131</f>
        <v>N/a</v>
      </c>
      <c r="P1622" s="2976"/>
      <c r="Q1622" s="2910"/>
    </row>
    <row r="1623" spans="1:21" s="3195" customFormat="1" ht="15">
      <c r="B1623" s="3196" t="s">
        <v>1845</v>
      </c>
      <c r="C1623" s="2749" t="s">
        <v>6886</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4062</v>
      </c>
    </row>
    <row r="1624" spans="1:21" s="3195" customFormat="1" ht="12" customHeight="1">
      <c r="A1624" s="2976" t="s">
        <v>1276</v>
      </c>
      <c r="B1624" s="3196" t="s">
        <v>1847</v>
      </c>
      <c r="C1624" s="2692" t="s">
        <v>6887</v>
      </c>
      <c r="D1624" s="2849"/>
      <c r="E1624" s="2849"/>
      <c r="F1624" s="2849"/>
      <c r="G1624" s="2746"/>
      <c r="J1624" s="2849" t="s">
        <v>6888</v>
      </c>
      <c r="K1624" s="2849"/>
      <c r="L1624" s="2849"/>
      <c r="M1624" s="2917">
        <v>5</v>
      </c>
      <c r="N1624" s="3187" t="s">
        <v>1847</v>
      </c>
      <c r="O1624" s="3199">
        <f>'Part VIII Scoring Criteria'!O133</f>
        <v>0</v>
      </c>
      <c r="P1624" s="3132"/>
      <c r="Q1624" s="2802" t="s">
        <v>6678</v>
      </c>
      <c r="R1624" s="2822" t="s">
        <v>6269</v>
      </c>
      <c r="S1624" s="2822" t="s">
        <v>6149</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6890</v>
      </c>
      <c r="J1628" s="2744" t="str">
        <f>'Part VIII Scoring Criteria'!J137</f>
        <v>Soputh Georgia Regional Commission / Tifton Senior Center / Mids, Inc.</v>
      </c>
      <c r="K1628" s="2744"/>
      <c r="L1628" s="3204" t="s">
        <v>3238</v>
      </c>
      <c r="M1628" s="2917">
        <v>3</v>
      </c>
      <c r="N1628" s="3064" t="s">
        <v>1844</v>
      </c>
      <c r="O1628" s="3012">
        <f>'Part VIII Scoring Criteria'!O137</f>
        <v>2</v>
      </c>
      <c r="P1628" s="3012">
        <f>'Part VIII Scoring Criteria'!P137</f>
        <v>3</v>
      </c>
      <c r="Q1628" s="2802" t="s">
        <v>6679</v>
      </c>
      <c r="R1628" s="2976">
        <v>0.25</v>
      </c>
      <c r="S1628" s="2976">
        <v>3</v>
      </c>
    </row>
    <row r="1629" spans="1:21" s="3093" customFormat="1" ht="12" customHeight="1">
      <c r="A1629" s="3135"/>
      <c r="B1629" s="3205" t="s">
        <v>1845</v>
      </c>
      <c r="C1629" s="2692" t="s">
        <v>6891</v>
      </c>
      <c r="D1629" s="2849"/>
      <c r="E1629" s="2849"/>
      <c r="F1629" s="2849"/>
      <c r="G1629" s="2746"/>
      <c r="H1629" s="2849" t="s">
        <v>6892</v>
      </c>
      <c r="I1629" s="2849"/>
      <c r="J1629" s="2875" t="s">
        <v>6697</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www.sgrc.us/public-transit-services.html
www.midsinc.net
www.tifton.net/220/Senior-Center</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6893</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6894</v>
      </c>
      <c r="D1633" s="2849"/>
      <c r="E1633" s="2849"/>
      <c r="F1633" s="2849"/>
      <c r="G1633" s="2849"/>
      <c r="H1633" s="2849"/>
      <c r="I1633" s="2849"/>
      <c r="J1633" s="2744" t="str">
        <f>'Part VIII Scoring Criteria'!J142</f>
        <v>www.sgrc.us/public-transit-services.html
www.midsinc.net
www.tifton.net/220/Senior-Center</v>
      </c>
      <c r="K1633" s="2744"/>
      <c r="L1633" s="2744"/>
      <c r="M1633" s="2522">
        <v>2</v>
      </c>
      <c r="N1633" s="3196" t="s">
        <v>2333</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6895</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5">
      <c r="A1637" s="3049" t="str">
        <f>'Part VIII Scoring Criteria'!A146</f>
        <v>Please see Tab 28 for Community Transportation documentation. Service is offered through Mids, Inc. and the South Georgia Regional Commission. The service is available to all residents of Tift County, is reliable and offer on-call on-site pickup. Additionally, through the South Georgia Regional Commission and the City of Tifton if you are over the age of 60 and need public transportation an option of free transportation is available throught the Tifton Senior Center.</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6153</v>
      </c>
      <c r="C1642" s="3052"/>
      <c r="D1642" s="3052"/>
      <c r="E1642" s="3052"/>
      <c r="G1642" s="2822" t="s">
        <v>3824</v>
      </c>
      <c r="H1642" s="2847" t="str">
        <f>'Part VII-Threshold Criteria'!$J$35</f>
        <v>HFOP</v>
      </c>
      <c r="M1642" s="2910">
        <v>3</v>
      </c>
      <c r="N1642" s="3141"/>
      <c r="O1642" s="2912">
        <f>'Part VIII Scoring Criteria'!O151</f>
        <v>2</v>
      </c>
      <c r="P1642" s="2910">
        <f>'Part VIII Scoring Criteria'!P151</f>
        <v>0</v>
      </c>
      <c r="Q1642" s="3104" t="str">
        <f>IF(OR($O1642&lt;=$M1642,$O1642=0,$O1642=""),"","*CHECK!*")</f>
        <v/>
      </c>
      <c r="R1642" s="2906" t="s">
        <v>416</v>
      </c>
      <c r="S1642" s="2694" t="s">
        <v>4062</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51">
      <c r="B1648" s="2875" t="str">
        <f>'Part VIII Scoring Criteria'!B157</f>
        <v>Matt Wilson Elementary School (KK - 5)</v>
      </c>
      <c r="C1648" s="2875"/>
      <c r="D1648" s="2875"/>
      <c r="E1648" s="2875"/>
      <c r="F1648" s="2875" t="str">
        <f>'Part VIII Scoring Criteria'!F157</f>
        <v>No</v>
      </c>
      <c r="G1648" s="2875"/>
      <c r="H1648" s="2875" t="str">
        <f>'Part VIII Scoring Criteria'!H157</f>
        <v>No</v>
      </c>
      <c r="I1648" s="2875"/>
      <c r="J1648" s="2913" t="str">
        <f>'Part VIII Scoring Criteria'!J157</f>
        <v>Yes</v>
      </c>
      <c r="K1648" s="2913"/>
      <c r="L1648" s="2913" t="str">
        <f>'Part VIII Scoring Criteria'!L157</f>
        <v>Yes</v>
      </c>
      <c r="M1648" s="2913"/>
      <c r="N1648" s="2971"/>
      <c r="O1648" s="2971"/>
      <c r="P1648" s="2857"/>
    </row>
    <row r="1649" spans="1:21" ht="38.25">
      <c r="B1649" s="2875" t="str">
        <f>'Part VIII Scoring Criteria'!B158</f>
        <v>Eight Street Middle School (6 - 8)</v>
      </c>
      <c r="C1649" s="2875"/>
      <c r="D1649" s="2875"/>
      <c r="E1649" s="2875"/>
      <c r="F1649" s="2875" t="str">
        <f>'Part VIII Scoring Criteria'!F158</f>
        <v>No</v>
      </c>
      <c r="G1649" s="2875"/>
      <c r="H1649" s="2875" t="str">
        <f>'Part VIII Scoring Criteria'!H158</f>
        <v>No</v>
      </c>
      <c r="I1649" s="2875"/>
      <c r="J1649" s="2913" t="str">
        <f>'Part VIII Scoring Criteria'!J158</f>
        <v>Yes</v>
      </c>
      <c r="K1649" s="2913"/>
      <c r="L1649" s="2913" t="str">
        <f>'Part VIII Scoring Criteria'!L158</f>
        <v>Yes</v>
      </c>
      <c r="M1649" s="2913"/>
      <c r="N1649" s="2971"/>
      <c r="O1649" s="2971"/>
      <c r="P1649" s="2857"/>
    </row>
    <row r="1650" spans="1:21" ht="38.25">
      <c r="B1650" s="2875" t="str">
        <f>'Part VIII Scoring Criteria'!B159</f>
        <v>Tift County High School (9 - 12)</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 xml:space="preserve">The property falls within the Tift County Schools District boundary and is in the attendance zone of Matt Wilson Elementary School (Grades KK-5). Per the Tift County School District website, students within the attendance zone for Matt Wilson Elementary attend Eight Street Middle School (Grades 6-8) and all students within the Tift County School District will attend Tift County High School (only high school in the district, Grades 9-12). All schools qualify for points under DCA scoring option C, serving all K-12 grade levels, therefore the project is eleigible for 2 points as a HFOP 55+ tenancy.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6182</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6784</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4062</v>
      </c>
      <c r="S1662" s="2679"/>
      <c r="T1662" s="2679"/>
      <c r="U1662" s="2679"/>
    </row>
    <row r="1663" spans="1:21" s="2980" customFormat="1" ht="12" customHeight="1">
      <c r="B1663" s="3058" t="s">
        <v>2241</v>
      </c>
      <c r="C1663" s="3046" t="s">
        <v>6688</v>
      </c>
      <c r="D1663" s="3046"/>
      <c r="E1663" s="3053"/>
      <c r="F1663" s="3053"/>
      <c r="G1663" s="3053"/>
      <c r="H1663" s="3053"/>
      <c r="I1663" s="3053"/>
      <c r="J1663" s="3053"/>
      <c r="K1663" s="3053"/>
      <c r="L1663" s="3058"/>
      <c r="M1663" s="3006" t="s">
        <v>6093</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f>'Part VIII Scoring Criteria'!M173</f>
        <v>11</v>
      </c>
      <c r="N1664" s="3219"/>
      <c r="O1664" s="3219"/>
      <c r="P1664" s="3219"/>
      <c r="S1664" s="2679"/>
      <c r="T1664" s="2679"/>
      <c r="U1664" s="2679"/>
    </row>
    <row r="1665" spans="1:22" s="2550" customFormat="1" ht="12.75" customHeight="1">
      <c r="B1665" s="3064" t="s">
        <v>2242</v>
      </c>
      <c r="C1665" s="474" t="s">
        <v>3960</v>
      </c>
      <c r="D1665" s="474"/>
      <c r="E1665" s="474"/>
      <c r="F1665" s="474"/>
      <c r="G1665" s="474"/>
      <c r="H1665" s="474"/>
      <c r="L1665" s="3064" t="s">
        <v>2242</v>
      </c>
      <c r="M1665" s="3219" t="str">
        <f>'Part VIII Scoring Criteria'!M174</f>
        <v>Pgs 4-8, 13-14, 18, 23-26</v>
      </c>
      <c r="N1665" s="3219"/>
      <c r="O1665" s="3219"/>
      <c r="P1665" s="3219"/>
      <c r="S1665" s="2679"/>
      <c r="T1665" s="2679"/>
      <c r="U1665" s="2679"/>
    </row>
    <row r="1666" spans="1:22" s="2550" customFormat="1" ht="12.75" customHeight="1">
      <c r="B1666" s="3064" t="s">
        <v>2243</v>
      </c>
      <c r="C1666" s="474" t="s">
        <v>6180</v>
      </c>
      <c r="D1666" s="474"/>
      <c r="E1666" s="474"/>
      <c r="F1666" s="474"/>
      <c r="G1666" s="474"/>
      <c r="H1666" s="474"/>
      <c r="L1666" s="3064" t="s">
        <v>2243</v>
      </c>
      <c r="M1666" s="3219" t="str">
        <f>'Part VIII Scoring Criteria'!M175</f>
        <v>36-39</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6181</v>
      </c>
      <c r="D1667" s="474"/>
      <c r="E1667" s="474"/>
      <c r="F1667" s="474"/>
      <c r="G1667" s="474"/>
      <c r="L1667" s="3064" t="s">
        <v>2244</v>
      </c>
      <c r="M1667" s="3219" t="str">
        <f>'Part VIII Scoring Criteria'!M176</f>
        <v>31-32</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6257</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6785</v>
      </c>
      <c r="D1670" s="3046"/>
      <c r="E1670" s="3053"/>
      <c r="F1670" s="3053"/>
      <c r="G1670" s="3053"/>
      <c r="H1670" s="3053"/>
      <c r="I1670" s="3053"/>
      <c r="J1670" s="3053"/>
      <c r="K1670" s="3053"/>
      <c r="L1670" s="3053"/>
      <c r="M1670" s="2522">
        <v>1</v>
      </c>
      <c r="N1670" s="3058" t="s">
        <v>4080</v>
      </c>
      <c r="O1670" s="3218">
        <f>'Part VIII Scoring Criteria'!O179</f>
        <v>1</v>
      </c>
      <c r="P1670" s="3160"/>
      <c r="Q1670" s="3104" t="str">
        <f>IF(OR($O1670=$M1670,$O1670=0,$O1670=""),"","*CHECK!*")</f>
        <v/>
      </c>
      <c r="R1670" s="2694" t="s">
        <v>4062</v>
      </c>
    </row>
    <row r="1671" spans="1:22" s="652" customFormat="1">
      <c r="A1671" s="3064"/>
      <c r="B1671" s="3058" t="s">
        <v>2242</v>
      </c>
      <c r="C1671" s="3046" t="s">
        <v>6786</v>
      </c>
      <c r="D1671" s="3046"/>
      <c r="E1671" s="3053"/>
      <c r="F1671" s="3053"/>
      <c r="G1671" s="3053"/>
      <c r="H1671" s="3053"/>
      <c r="I1671" s="3053"/>
      <c r="J1671" s="3053"/>
      <c r="K1671" s="3053"/>
      <c r="L1671" s="3053"/>
      <c r="M1671" s="2522">
        <v>1</v>
      </c>
      <c r="N1671" s="3058" t="s">
        <v>6266</v>
      </c>
      <c r="O1671" s="3222">
        <f>'Part VIII Scoring Criteria'!O180</f>
        <v>1</v>
      </c>
      <c r="P1671" s="3223"/>
      <c r="Q1671" s="3104" t="str">
        <f>IF(OR($O1671=$M1671,$O1671=0,$O1671=""),"","*CHECK!*")</f>
        <v/>
      </c>
      <c r="R1671" s="2694" t="s">
        <v>4062</v>
      </c>
    </row>
    <row r="1672" spans="1:22" s="652" customFormat="1" ht="12" customHeight="1">
      <c r="A1672" s="3064"/>
      <c r="B1672" s="3089" t="s">
        <v>2243</v>
      </c>
      <c r="C1672" s="3006" t="s">
        <v>6787</v>
      </c>
      <c r="D1672" s="3046"/>
      <c r="E1672" s="3046"/>
      <c r="F1672" s="3046"/>
      <c r="G1672" s="3046"/>
      <c r="H1672" s="3046"/>
      <c r="I1672" s="3046"/>
      <c r="J1672" s="3046"/>
      <c r="K1672" s="3046"/>
      <c r="L1672" s="3046"/>
      <c r="M1672" s="2917">
        <v>1</v>
      </c>
      <c r="N1672" s="3064" t="s">
        <v>6267</v>
      </c>
      <c r="O1672" s="3218">
        <f>'Part VIII Scoring Criteria'!O181</f>
        <v>1</v>
      </c>
      <c r="P1672" s="3160"/>
      <c r="Q1672" s="3104" t="str">
        <f>IF(OR($O1672=$M1672,$O1672=0,$O1672=""),"","*CHECK!*")</f>
        <v/>
      </c>
      <c r="R1672" s="2694" t="s">
        <v>4062</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3825</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4062</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 xml:space="preserve">The Magnolia Villas site is located within a qualified census tract that is included in the scope and boundary of the Tift County Carpenter/King/Whiddon Mill Road Corridor Redevelopment Plan. This plan was most recently updated and approved on July 20, 2020. Documentation for this plan and third party capital investment can be found in Tab 30 of the application.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3675</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Yes</v>
      </c>
      <c r="P1681" s="2976"/>
      <c r="Q1681" s="2910"/>
      <c r="R1681" s="3185"/>
      <c r="S1681" s="3185"/>
      <c r="T1681" s="3185"/>
      <c r="U1681" s="3185"/>
    </row>
    <row r="1682" spans="1:24" s="3093" customFormat="1" ht="13.5" customHeight="1">
      <c r="A1682" s="3135"/>
      <c r="B1682" s="3226" t="s">
        <v>6258</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6788</v>
      </c>
      <c r="D1683" s="2550"/>
      <c r="G1683" s="3112"/>
      <c r="O1683" s="2976"/>
      <c r="P1683" s="2976"/>
      <c r="Q1683" s="2847"/>
    </row>
    <row r="1684" spans="1:24" s="3228" customFormat="1" ht="12.75" customHeight="1">
      <c r="B1684" s="3196" t="s">
        <v>1845</v>
      </c>
      <c r="C1684" s="3046" t="s">
        <v>6213</v>
      </c>
      <c r="D1684" s="3053"/>
      <c r="E1684" s="3053"/>
      <c r="F1684" s="3053"/>
      <c r="G1684" s="3053"/>
      <c r="H1684" s="3053"/>
      <c r="I1684" s="3053"/>
      <c r="J1684" s="3053"/>
      <c r="K1684" s="3053"/>
      <c r="L1684" s="3053"/>
      <c r="M1684" s="3067" t="s">
        <v>698</v>
      </c>
      <c r="N1684" s="3156" t="s">
        <v>1845</v>
      </c>
      <c r="O1684" s="3078" t="str">
        <f>'Part VIII Scoring Criteria'!O193</f>
        <v>Yes</v>
      </c>
      <c r="P1684" s="3059"/>
      <c r="Q1684" s="3229"/>
      <c r="V1684" s="3230"/>
      <c r="W1684" s="3230"/>
    </row>
    <row r="1685" spans="1:24" s="2550" customFormat="1" ht="12.75" customHeight="1">
      <c r="A1685" s="3064"/>
      <c r="B1685" s="3196" t="s">
        <v>1847</v>
      </c>
      <c r="C1685" s="2923" t="s">
        <v>6214</v>
      </c>
      <c r="D1685" s="3011"/>
      <c r="E1685" s="3011"/>
      <c r="F1685" s="3011"/>
      <c r="G1685" s="3011"/>
      <c r="H1685" s="3011"/>
      <c r="I1685" s="3011"/>
      <c r="J1685" s="3011"/>
      <c r="K1685" s="3011"/>
      <c r="L1685" s="3011"/>
      <c r="M1685" s="3011"/>
      <c r="N1685" s="3156" t="s">
        <v>1847</v>
      </c>
      <c r="O1685" s="3066" t="str">
        <f>'Part VIII Scoring Criteria'!O194</f>
        <v>Yes</v>
      </c>
      <c r="P1685" s="2976"/>
      <c r="Q1685" s="2906"/>
      <c r="V1685" s="3231"/>
      <c r="W1685" s="3231"/>
    </row>
    <row r="1686" spans="1:24" s="2550" customFormat="1" ht="18.75">
      <c r="A1686" s="3064"/>
      <c r="B1686" s="3196" t="s">
        <v>2333</v>
      </c>
      <c r="C1686" s="3046" t="s">
        <v>6217</v>
      </c>
      <c r="D1686" s="3053"/>
      <c r="E1686" s="3053"/>
      <c r="F1686" s="3053"/>
      <c r="G1686" s="3053"/>
      <c r="H1686" s="3053"/>
      <c r="I1686" s="3053"/>
      <c r="J1686" s="3053"/>
      <c r="K1686" s="3053"/>
      <c r="L1686" s="3053"/>
      <c r="M1686" s="3053"/>
      <c r="N1686" s="3156" t="s">
        <v>2333</v>
      </c>
      <c r="O1686" s="3078" t="str">
        <f>'Part VIII Scoring Criteria'!O195</f>
        <v>Yes</v>
      </c>
      <c r="P1686" s="3059"/>
      <c r="Q1686" s="2906"/>
      <c r="V1686" s="3231"/>
      <c r="W1686" s="3231"/>
    </row>
    <row r="1687" spans="1:24" s="652" customFormat="1" ht="11.45" customHeight="1">
      <c r="A1687" s="2950" t="s">
        <v>1963</v>
      </c>
      <c r="B1687" s="2135" t="s">
        <v>6215</v>
      </c>
      <c r="C1687" s="2755"/>
      <c r="D1687" s="2550"/>
      <c r="G1687" s="3112"/>
      <c r="O1687" s="2976"/>
      <c r="P1687" s="2976"/>
      <c r="Q1687" s="2847"/>
    </row>
    <row r="1688" spans="1:24" s="3228" customFormat="1" ht="12.75" customHeight="1">
      <c r="B1688" s="3196" t="s">
        <v>1845</v>
      </c>
      <c r="C1688" s="3046" t="s">
        <v>6789</v>
      </c>
      <c r="D1688" s="3053"/>
      <c r="E1688" s="3053"/>
      <c r="F1688" s="3053"/>
      <c r="G1688" s="3053"/>
      <c r="H1688" s="3053"/>
      <c r="I1688" s="3053"/>
      <c r="J1688" s="3053"/>
      <c r="K1688" s="3053"/>
      <c r="L1688" s="3053"/>
      <c r="M1688" s="3067" t="s">
        <v>1963</v>
      </c>
      <c r="N1688" s="3156" t="s">
        <v>1845</v>
      </c>
      <c r="O1688" s="3078" t="str">
        <f>'Part VIII Scoring Criteria'!O197</f>
        <v>Yes</v>
      </c>
      <c r="P1688" s="3059"/>
      <c r="Q1688" s="3229"/>
      <c r="V1688" s="3230"/>
      <c r="W1688" s="3230"/>
    </row>
    <row r="1689" spans="1:24" s="2550" customFormat="1" ht="12.75" customHeight="1">
      <c r="A1689" s="3064"/>
      <c r="B1689" s="3196" t="s">
        <v>1847</v>
      </c>
      <c r="C1689" s="3046" t="s">
        <v>6790</v>
      </c>
      <c r="D1689" s="3053"/>
      <c r="E1689" s="3053"/>
      <c r="F1689" s="3053"/>
      <c r="G1689" s="3053"/>
      <c r="H1689" s="3053"/>
      <c r="I1689" s="3053"/>
      <c r="J1689" s="3053"/>
      <c r="K1689" s="3053"/>
      <c r="L1689" s="3053"/>
      <c r="M1689" s="3011"/>
      <c r="N1689" s="3156" t="s">
        <v>1847</v>
      </c>
      <c r="O1689" s="3078" t="str">
        <f>'Part VIII Scoring Criteria'!O198</f>
        <v>Yes</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409.5">
      <c r="A1691" s="2744" t="str">
        <f>'Part VIII Scoring Criteria'!A200</f>
        <v xml:space="preserve">Volunteers of America Southeast VOASE began serving the community in 1980 providing services across Mississippi, Alabama, and Georgia.  Serving over 2,000 people daily with direct programs, they also serve over 8,000 people annually with Community Outreach.  VOASE strives to enable persons served to become as independent as possible without jeopardizing the welfare or safety of the individual.  Included in the application you will find 7 letters confirming VOASE’s collaboration with 7 community organizations totaling over 76 years of combined partnerships.  Partner organizations cover a vast array of services including employment, health, transportation, and education as well as documented measurable results from each organization. The Community Improvement Fund will be utilized by VOASE to support the challenges and solutions identified through community engagement and outreach and included in the Community Transformation Plan.  VOASE identified members in the community to serve on the Community Quarterback Board who cover employment, local government, and health care sectors as well as two low-income community members who live in the Defined Neighborhood to actively participate in driving the Community Transformation Plan along side VOASE. VOASE has the documented breadth to undertake a meaningful Community Transformation Plan. Additional detail can be found in Tab 31 of the application. </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3826</v>
      </c>
      <c r="D1697" s="2967"/>
      <c r="E1697" s="2967"/>
      <c r="K1697" s="3234"/>
      <c r="M1697" s="2917">
        <v>5</v>
      </c>
      <c r="N1697" s="3064" t="s">
        <v>1842</v>
      </c>
      <c r="O1697" s="3173">
        <f>'Part VIII Scoring Criteria'!O206</f>
        <v>0</v>
      </c>
      <c r="P1697" s="3012"/>
      <c r="Q1697" s="3104" t="str">
        <f>IF(O1697&lt;=M1697,"","*CHECK!*")</f>
        <v/>
      </c>
      <c r="R1697" s="2694" t="s">
        <v>4062</v>
      </c>
      <c r="S1697" s="3232"/>
      <c r="T1697" s="3232"/>
      <c r="U1697" s="3232"/>
    </row>
    <row r="1698" spans="1:37" ht="12.75" customHeight="1">
      <c r="B1698" s="3235"/>
      <c r="C1698" s="2971" t="s">
        <v>6260</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6261</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6219</v>
      </c>
      <c r="C1701" s="474"/>
      <c r="K1701" s="3064"/>
      <c r="L1701" s="3064"/>
      <c r="M1701" s="2917">
        <v>5</v>
      </c>
      <c r="N1701" s="3064" t="s">
        <v>1844</v>
      </c>
      <c r="O1701" s="3173">
        <f>'Part VIII Scoring Criteria'!O210</f>
        <v>0</v>
      </c>
      <c r="P1701" s="3012"/>
      <c r="Q1701" s="3104" t="str">
        <f>IF(O1701&lt;=M1701,"","*CHECK!*")</f>
        <v/>
      </c>
      <c r="R1701" s="2694" t="s">
        <v>4062</v>
      </c>
      <c r="S1701" s="3232"/>
      <c r="T1701" s="3232"/>
      <c r="U1701" s="3232"/>
    </row>
    <row r="1702" spans="1:37">
      <c r="C1702" s="3243" t="s">
        <v>6225</v>
      </c>
      <c r="D1702" s="652"/>
      <c r="E1702" s="3244" t="s">
        <v>6224</v>
      </c>
      <c r="F1702" s="3244"/>
      <c r="G1702" s="3244"/>
      <c r="H1702" s="3244"/>
      <c r="I1702" s="2860" t="s">
        <v>6251</v>
      </c>
      <c r="J1702" s="3244" t="s">
        <v>6224</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6222</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6223</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6220</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6221</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56.25">
      <c r="A1710" s="3049" t="str">
        <f>'Part VIII Scoring Criteria'!A219</f>
        <v>Applicant is not claiming points in this section.</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4038</v>
      </c>
      <c r="C1715" s="1024"/>
      <c r="G1715" s="2847" t="s">
        <v>6254</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6255</v>
      </c>
      <c r="D1716" s="474"/>
      <c r="E1716" s="474"/>
      <c r="F1716" s="2910"/>
      <c r="G1716" s="2976" t="s">
        <v>3155</v>
      </c>
      <c r="H1716" s="3073">
        <f>IF('Part V-Revenues &amp; Expenses'!$P$67=0,0,'Part V-Revenues &amp; Expenses'!$P$64/'Part V-Revenues &amp; Expenses'!$P$67)</f>
        <v>0</v>
      </c>
      <c r="J1716" s="3112" t="s">
        <v>3963</v>
      </c>
      <c r="K1716" s="3074" t="str">
        <f>'Part V-Revenues &amp; Expenses'!$O$53</f>
        <v>Income Averaging</v>
      </c>
      <c r="L1716" s="3074"/>
      <c r="M1716" s="2976"/>
      <c r="N1716" s="2910"/>
      <c r="O1716" s="2671"/>
      <c r="P1716" s="3012"/>
    </row>
    <row r="1717" spans="1:24" s="652" customFormat="1" ht="12" customHeight="1">
      <c r="A1717" s="2917" t="s">
        <v>1842</v>
      </c>
      <c r="B1717" s="1024" t="s">
        <v>3961</v>
      </c>
      <c r="C1717" s="1024"/>
      <c r="E1717" s="2833" t="s">
        <v>3962</v>
      </c>
      <c r="M1717" s="2917">
        <v>1</v>
      </c>
      <c r="N1717" s="3064" t="s">
        <v>1842</v>
      </c>
      <c r="O1717" s="3173">
        <f>'Part VIII Scoring Criteria'!O226</f>
        <v>0</v>
      </c>
      <c r="P1717" s="3012"/>
      <c r="Q1717" s="3200" t="str">
        <f>IF(OR($O1717=$M1717,$O1717=0,$O1717=""),"","*CHECK!*")</f>
        <v/>
      </c>
      <c r="R1717" s="2694" t="s">
        <v>4062</v>
      </c>
    </row>
    <row r="1718" spans="1:24" s="652" customFormat="1" ht="12" customHeight="1">
      <c r="A1718" s="2917" t="s">
        <v>1844</v>
      </c>
      <c r="B1718" s="1024" t="s">
        <v>3816</v>
      </c>
      <c r="C1718" s="1024"/>
      <c r="E1718" s="2833" t="s">
        <v>4043</v>
      </c>
      <c r="M1718" s="2666">
        <v>1</v>
      </c>
      <c r="N1718" s="3064" t="s">
        <v>1844</v>
      </c>
      <c r="O1718" s="3173">
        <f>'Part VIII Scoring Criteria'!O227</f>
        <v>1</v>
      </c>
      <c r="P1718" s="3012"/>
      <c r="Q1718" s="3200" t="str">
        <f>IF(OR($O1718=$M1718,$O1718=0,$O1718=""),"","*CHECK!*")</f>
        <v/>
      </c>
      <c r="R1718" s="2694" t="s">
        <v>4062</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56.25">
      <c r="A1728" s="3049" t="str">
        <f>'Part VIII Scoring Criteria'!A237</f>
        <v>Applicant is not claiming points in this section.</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4040</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4062</v>
      </c>
      <c r="S1732" s="2683"/>
      <c r="T1732" s="2683"/>
      <c r="U1732" s="2683"/>
      <c r="V1732" s="2683"/>
      <c r="W1732" s="3020"/>
      <c r="X1732" s="3020"/>
    </row>
    <row r="1733" spans="1:27" s="1024" customFormat="1" ht="11.25">
      <c r="A1733" s="3196"/>
      <c r="B1733" s="3046" t="s">
        <v>6262</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6263</v>
      </c>
      <c r="E1734" s="2923" t="s">
        <v>3311</v>
      </c>
      <c r="G1734" s="3066">
        <f>'Part VIII Scoring Criteria'!G243</f>
        <v>0</v>
      </c>
      <c r="H1734" s="3064" t="s">
        <v>574</v>
      </c>
      <c r="I1734" s="2913">
        <f>'Part VIII Scoring Criteria'!I243</f>
        <v>0</v>
      </c>
      <c r="J1734" s="2913"/>
      <c r="L1734" s="3257" t="s">
        <v>6265</v>
      </c>
      <c r="M1734" s="3258">
        <f>'Part VIII Scoring Criteria'!M243</f>
        <v>0</v>
      </c>
      <c r="N1734" s="3258"/>
    </row>
    <row r="1735" spans="1:27" s="474" customFormat="1" ht="11.25" customHeight="1">
      <c r="A1735" s="3187"/>
      <c r="B1735" s="3196" t="s">
        <v>1847</v>
      </c>
      <c r="C1735" s="2971" t="s">
        <v>6264</v>
      </c>
      <c r="E1735" s="2923" t="s">
        <v>3311</v>
      </c>
      <c r="G1735" s="3066">
        <f>'Part VIII Scoring Criteria'!G244</f>
        <v>0</v>
      </c>
      <c r="H1735" s="3064" t="s">
        <v>574</v>
      </c>
      <c r="I1735" s="2913">
        <f>'Part VIII Scoring Criteria'!I244</f>
        <v>0</v>
      </c>
      <c r="J1735" s="2913"/>
      <c r="L1735" s="3257" t="s">
        <v>6265</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123.75">
      <c r="A1738" s="3049" t="str">
        <f>'Part VIII Scoring Criteria'!A247</f>
        <v>Applicant is not claiming points in this section. The project is not a phased development.</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3964</v>
      </c>
      <c r="D1742" s="3180"/>
      <c r="E1742" s="1024" t="s">
        <v>6271</v>
      </c>
      <c r="G1742" s="2984"/>
      <c r="L1742" s="3064" t="str">
        <f>IF(AND(O1742&gt;0,NOT($M$54="New Supply")), "Ineligible to score in this section, not New Supply!","")</f>
        <v>Ineligible to score in this section, not New Supply!</v>
      </c>
      <c r="M1742" s="2910">
        <v>5</v>
      </c>
      <c r="N1742" s="2910"/>
      <c r="O1742" s="3012">
        <f>'Part VIII Scoring Criteria'!O251</f>
        <v>3</v>
      </c>
      <c r="P1742" s="3012">
        <f>'Part VIII Scoring Criteria'!P251</f>
        <v>0</v>
      </c>
      <c r="Q1742" s="2910" t="s">
        <v>416</v>
      </c>
      <c r="R1742" s="2694" t="s">
        <v>4062</v>
      </c>
      <c r="S1742" s="3259"/>
      <c r="T1742" s="3259"/>
      <c r="U1742" s="3259"/>
      <c r="V1742" s="3259"/>
      <c r="W1742" s="3020"/>
      <c r="X1742" s="3020"/>
    </row>
    <row r="1743" spans="1:27" s="2550" customFormat="1" ht="11.25" customHeight="1">
      <c r="A1743" s="2950" t="s">
        <v>1842</v>
      </c>
      <c r="B1743" s="2135" t="s">
        <v>6791</v>
      </c>
      <c r="M1743" s="2917">
        <v>5</v>
      </c>
      <c r="N1743" s="3064" t="s">
        <v>1842</v>
      </c>
      <c r="O1743" s="3173">
        <f>'Part VIII Scoring Criteria'!O252</f>
        <v>0</v>
      </c>
      <c r="P1743" s="3012"/>
      <c r="Q1743" s="3200" t="str">
        <f>IF(OR($O1743=$M1743,$O1743=$M1743-1,$O1743=0,$O1743=""),"","*CHECK!*")</f>
        <v/>
      </c>
      <c r="R1743" s="2694" t="s">
        <v>4062</v>
      </c>
      <c r="S1743" s="3259"/>
      <c r="T1743" s="3259"/>
      <c r="U1743" s="3259"/>
      <c r="V1743" s="3259"/>
    </row>
    <row r="1744" spans="1:27" s="2550" customFormat="1" ht="11.25" customHeight="1">
      <c r="A1744" s="2950" t="s">
        <v>1844</v>
      </c>
      <c r="B1744" s="2135" t="s">
        <v>6272</v>
      </c>
      <c r="M1744" s="2917">
        <v>3</v>
      </c>
      <c r="N1744" s="3064" t="s">
        <v>1844</v>
      </c>
      <c r="O1744" s="3173">
        <f>'Part VIII Scoring Criteria'!O253</f>
        <v>3</v>
      </c>
      <c r="P1744" s="3012"/>
      <c r="Q1744" s="3200" t="str">
        <f>IF(OR($O1744=$M1744,$O1744=$M1744-1,$O1744=0,$O1744=""),"","*CHECK!*")</f>
        <v/>
      </c>
      <c r="R1744" s="2694" t="s">
        <v>4062</v>
      </c>
    </row>
    <row r="1745" spans="1:21" s="652" customFormat="1">
      <c r="A1745" s="2950" t="s">
        <v>698</v>
      </c>
      <c r="B1745" s="2135" t="s">
        <v>6273</v>
      </c>
      <c r="E1745" s="2923" t="s">
        <v>6235</v>
      </c>
      <c r="I1745" s="3104"/>
      <c r="L1745" s="2688"/>
      <c r="M1745" s="2917">
        <v>3</v>
      </c>
      <c r="N1745" s="3064" t="s">
        <v>698</v>
      </c>
      <c r="O1745" s="3173">
        <f>'Part VIII Scoring Criteria'!O254</f>
        <v>0</v>
      </c>
      <c r="P1745" s="3012"/>
      <c r="Q1745" s="3200" t="str">
        <f>IF(OR($O1745=$M1745,$O1745=$M1745-1,$O1745=0,$O1745=""),"","*CHECK!*")</f>
        <v/>
      </c>
      <c r="R1745" s="2694" t="s">
        <v>4062</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236.25">
      <c r="A1747" s="3049" t="str">
        <f>'Part VIII Scoring Criteria'!A256</f>
        <v>The proposed site is not within a local government boundary that has received an award of tax credits within the last six (6) DCA competitive round cycles. Applicant is eligible for 3 points.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4063</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6618</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6619</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6620</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3956</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3828</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6236</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6578</v>
      </c>
      <c r="D1764" s="2967"/>
      <c r="E1764" s="2967"/>
      <c r="G1764" s="3256"/>
      <c r="H1764" s="2692"/>
      <c r="I1764" s="2847" t="s">
        <v>6144</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6579</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6580</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112.5">
      <c r="A1771" s="3049" t="str">
        <f>'Part VIII Scoring Criteria'!A280</f>
        <v>Applicant is not claiming points in this category. Project is located in a USDA rural area.</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6586</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6707</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6588</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6584</v>
      </c>
      <c r="C1785" s="2755"/>
      <c r="D1785" s="3046"/>
      <c r="E1785" s="3046"/>
      <c r="F1785" s="2755"/>
      <c r="G1785" s="3046" t="s">
        <v>6592</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6593</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6594</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6585</v>
      </c>
      <c r="C1788" s="2755"/>
      <c r="D1788" s="3061"/>
      <c r="G1788" s="1024" t="s">
        <v>6595</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6596</v>
      </c>
      <c r="D1789" s="3053"/>
      <c r="E1789" s="3053"/>
      <c r="F1789" s="3053"/>
      <c r="G1789" s="3053"/>
      <c r="H1789" s="3053"/>
      <c r="I1789" s="3053"/>
      <c r="J1789" s="3053"/>
      <c r="K1789" s="3053"/>
      <c r="L1789" s="3053"/>
      <c r="M1789" s="3053"/>
      <c r="N1789" s="3157" t="s">
        <v>1845</v>
      </c>
      <c r="O1789" s="3066">
        <f>'Part VIII Scoring Criteria'!O298</f>
        <v>0</v>
      </c>
      <c r="P1789" s="2976"/>
      <c r="Q1789" s="3228"/>
      <c r="R1789" s="3269"/>
      <c r="S1789" s="3269"/>
      <c r="T1789" s="3269"/>
      <c r="U1789" s="3269"/>
    </row>
    <row r="1790" spans="1:24" s="3195" customFormat="1" ht="10.5" customHeight="1">
      <c r="A1790" s="3266"/>
      <c r="B1790" s="3196" t="s">
        <v>1847</v>
      </c>
      <c r="C1790" s="3046" t="s">
        <v>6597</v>
      </c>
      <c r="D1790" s="3053"/>
      <c r="E1790" s="3053"/>
      <c r="F1790" s="3053"/>
      <c r="G1790" s="3053"/>
      <c r="H1790" s="3053"/>
      <c r="I1790" s="3053"/>
      <c r="J1790" s="3053"/>
      <c r="K1790" s="3053"/>
      <c r="L1790" s="3053"/>
      <c r="M1790" s="3053"/>
      <c r="N1790" s="3157" t="s">
        <v>1847</v>
      </c>
      <c r="O1790" s="3078">
        <f>'Part VIII Scoring Criteria'!O299</f>
        <v>0</v>
      </c>
      <c r="P1790" s="3059"/>
      <c r="Q1790" s="3228"/>
      <c r="R1790" s="3269"/>
      <c r="S1790" s="3269"/>
      <c r="T1790" s="3269"/>
      <c r="U1790" s="3269"/>
    </row>
    <row r="1791" spans="1:24" s="3195" customFormat="1" ht="10.5" customHeight="1">
      <c r="A1791" s="3266"/>
      <c r="B1791" s="3196" t="s">
        <v>2333</v>
      </c>
      <c r="C1791" s="3242" t="s">
        <v>6703</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6598</v>
      </c>
      <c r="D1792" s="3183"/>
      <c r="E1792" s="3106"/>
      <c r="F1792" s="3106"/>
      <c r="G1792" s="3106"/>
      <c r="H1792" s="2967"/>
      <c r="I1792" s="2967"/>
      <c r="M1792" s="2910"/>
      <c r="N1792" s="3058" t="s">
        <v>2241</v>
      </c>
      <c r="O1792" s="3066">
        <f>'Part VIII Scoring Criteria'!O301</f>
        <v>0</v>
      </c>
      <c r="P1792" s="2976"/>
      <c r="Q1792" s="2910"/>
      <c r="R1792" s="3185"/>
      <c r="S1792" s="3185"/>
      <c r="T1792" s="3185"/>
      <c r="U1792" s="3185"/>
    </row>
    <row r="1793" spans="1:22" s="3093" customFormat="1" ht="11.25" customHeight="1">
      <c r="A1793" s="3135"/>
      <c r="B1793" s="3064" t="s">
        <v>2242</v>
      </c>
      <c r="C1793" s="474" t="s">
        <v>6599</v>
      </c>
      <c r="D1793" s="3183"/>
      <c r="E1793" s="3106"/>
      <c r="F1793" s="3106"/>
      <c r="G1793" s="3106"/>
      <c r="H1793" s="2967"/>
      <c r="I1793" s="2967"/>
      <c r="J1793" s="2135"/>
      <c r="K1793" s="2135"/>
      <c r="L1793" s="3106"/>
      <c r="M1793" s="3106"/>
      <c r="N1793" s="3064" t="s">
        <v>2242</v>
      </c>
      <c r="O1793" s="3066">
        <f>'Part VIII Scoring Criteria'!O302</f>
        <v>0</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f>'Part VIII Scoring Criteria'!O303</f>
        <v>0</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409.5">
      <c r="A1796" s="3049" t="str">
        <f>'Part VIII Scoring Criteria'!A305</f>
        <v>Applicant agrees to engage QB's in the development or operation of the proposed property in amounts equal to approximately 5% of total construction hard costs as certified by the Independent Auditor Report in the Final Allocation Application. Applicant will submit a report with Final Allocation Application describing these efforts and detailing sucesse, obstacles, and other notes pertaining to the Applicant's attempts to follow through on the commitment.</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6590</v>
      </c>
      <c r="D1801" s="3061"/>
      <c r="E1801" s="3061" t="s">
        <v>6601</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6591</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23.75">
      <c r="A1804" s="3049" t="str">
        <f>'Part VIII Scoring Criteria'!A313</f>
        <v>Applicant agrees to partner with a CORES certified group to provide services to community resdents.</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6254</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6237</v>
      </c>
      <c r="C1809" s="3052"/>
      <c r="D1809" s="3052"/>
      <c r="E1809" s="3052"/>
      <c r="F1809" s="3052"/>
      <c r="G1809" s="3052"/>
      <c r="H1809" s="3052"/>
      <c r="I1809" s="3052"/>
      <c r="J1809" s="3052"/>
      <c r="K1809" s="3052"/>
      <c r="L1809" s="3227"/>
      <c r="M1809" s="2910"/>
      <c r="N1809" s="3141"/>
      <c r="O1809" s="3066" t="str">
        <f>'Part VIII Scoring Criteria'!O318</f>
        <v>No</v>
      </c>
      <c r="P1809" s="2976"/>
      <c r="Q1809" s="2910"/>
      <c r="T1809" s="3260"/>
      <c r="U1809" s="3260"/>
    </row>
    <row r="1810" spans="1:21" s="3093" customFormat="1" ht="12" customHeight="1">
      <c r="A1810" s="2917" t="s">
        <v>1842</v>
      </c>
      <c r="B1810" s="2135" t="s">
        <v>3345</v>
      </c>
      <c r="C1810" s="3006"/>
      <c r="D1810" s="3006"/>
      <c r="E1810" s="474"/>
      <c r="G1810" s="2982"/>
      <c r="I1810" s="2923" t="s">
        <v>4081</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3843</v>
      </c>
      <c r="D1811" s="2550"/>
      <c r="N1811" s="3187" t="s">
        <v>3844</v>
      </c>
      <c r="O1811" s="3066" t="str">
        <f>'Part VIII Scoring Criteria'!O320</f>
        <v>Yes</v>
      </c>
      <c r="P1811" s="2976"/>
      <c r="R1811" s="3168"/>
    </row>
    <row r="1812" spans="1:21" s="3106" customFormat="1" ht="10.5" customHeight="1">
      <c r="A1812" s="2917"/>
      <c r="B1812" s="3187"/>
      <c r="C1812" s="474" t="s">
        <v>6581</v>
      </c>
      <c r="D1812" s="2550"/>
      <c r="N1812" s="3187" t="s">
        <v>3845</v>
      </c>
      <c r="O1812" s="3066" t="str">
        <f>'Part VIII Scoring Criteria'!O321</f>
        <v>No</v>
      </c>
      <c r="P1812" s="2976"/>
      <c r="R1812" s="3168"/>
    </row>
    <row r="1813" spans="1:21" s="3106" customFormat="1" ht="10.5" customHeight="1">
      <c r="A1813" s="2917"/>
      <c r="B1813" s="3187" t="s">
        <v>1847</v>
      </c>
      <c r="C1813" s="474" t="s">
        <v>3350</v>
      </c>
      <c r="D1813" s="2550"/>
      <c r="N1813" s="3187" t="s">
        <v>1847</v>
      </c>
      <c r="O1813" s="3066" t="str">
        <f>'Part VIII Scoring Criteria'!O322</f>
        <v>Yes</v>
      </c>
      <c r="P1813" s="2976"/>
      <c r="R1813" s="3168"/>
    </row>
    <row r="1814" spans="1:21" s="3106" customFormat="1" ht="10.5" customHeight="1">
      <c r="A1814" s="2917"/>
      <c r="B1814" s="3187" t="s">
        <v>2333</v>
      </c>
      <c r="C1814" s="474" t="s">
        <v>3846</v>
      </c>
      <c r="D1814" s="2550"/>
      <c r="N1814" s="3187" t="s">
        <v>2333</v>
      </c>
      <c r="O1814" s="3066" t="str">
        <f>'Part VIII Scoring Criteria'!O323</f>
        <v>Yes</v>
      </c>
      <c r="P1814" s="2976"/>
      <c r="R1814" s="3168"/>
    </row>
    <row r="1815" spans="1:21" s="3106" customFormat="1" ht="10.5" customHeight="1">
      <c r="A1815" s="3220"/>
      <c r="B1815" s="3187" t="s">
        <v>1151</v>
      </c>
      <c r="C1815" s="474" t="s">
        <v>3351</v>
      </c>
      <c r="D1815" s="2550"/>
      <c r="N1815" s="3187" t="s">
        <v>1151</v>
      </c>
      <c r="O1815" s="3066" t="str">
        <f>'Part VIII Scoring Criteria'!O324</f>
        <v>Yes</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3843</v>
      </c>
      <c r="D1817" s="474"/>
      <c r="E1817" s="474"/>
      <c r="M1817" s="2910"/>
      <c r="N1817" s="3187" t="s">
        <v>3844</v>
      </c>
      <c r="O1817" s="3066">
        <f>'Part VIII Scoring Criteria'!O326</f>
        <v>0</v>
      </c>
      <c r="P1817" s="2976"/>
      <c r="Q1817" s="2910"/>
    </row>
    <row r="1818" spans="1:21" s="3106" customFormat="1" ht="10.5" customHeight="1">
      <c r="A1818" s="2950"/>
      <c r="B1818" s="3187"/>
      <c r="C1818" s="474" t="s">
        <v>6582</v>
      </c>
      <c r="D1818" s="2550"/>
      <c r="N1818" s="3187" t="s">
        <v>3845</v>
      </c>
      <c r="O1818" s="3066">
        <f>'Part VIII Scoring Criteria'!O327</f>
        <v>0</v>
      </c>
      <c r="P1818" s="2976"/>
      <c r="R1818" s="3168"/>
    </row>
    <row r="1819" spans="1:21" s="3106" customFormat="1" ht="10.5" customHeight="1">
      <c r="A1819" s="2950"/>
      <c r="B1819" s="3187" t="s">
        <v>1847</v>
      </c>
      <c r="C1819" s="474" t="s">
        <v>3362</v>
      </c>
      <c r="D1819" s="2550"/>
      <c r="N1819" s="3187" t="s">
        <v>1847</v>
      </c>
      <c r="O1819" s="3066">
        <f>'Part VIII Scoring Criteria'!O328</f>
        <v>0</v>
      </c>
      <c r="P1819" s="2976"/>
      <c r="R1819" s="3168"/>
    </row>
    <row r="1820" spans="1:21" s="3106" customFormat="1" ht="10.5" customHeight="1">
      <c r="B1820" s="3187" t="s">
        <v>2333</v>
      </c>
      <c r="C1820" s="474" t="s">
        <v>3351</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2</v>
      </c>
      <c r="P1824" s="3012">
        <f>'Part VIII Scoring Criteria'!P333</f>
        <v>0</v>
      </c>
      <c r="Q1824" s="2910" t="s">
        <v>416</v>
      </c>
      <c r="R1824" s="2741" t="s">
        <v>4062</v>
      </c>
      <c r="S1824" s="2741"/>
    </row>
    <row r="1825" spans="1:20" s="3093" customFormat="1" ht="11.25" customHeight="1">
      <c r="A1825" s="2950"/>
      <c r="B1825" s="2923" t="s">
        <v>3156</v>
      </c>
      <c r="D1825" s="3006"/>
      <c r="E1825" s="3006"/>
      <c r="G1825" s="474"/>
      <c r="I1825" s="2913" t="str">
        <f>'Part VIII Scoring Criteria'!I334</f>
        <v>City of Tifton</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Please see Tab 41 for the GICH teams support letter executed by the primary contact on record and the letter from the Local government agreeing to the issuance of the support letter and also indicating that the proposed Magnolia Villas is located within the Tifton GICH community boundaries on EB Hamilton Road, which is a rapidly growing area within their community.</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6143</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1.25">
      <c r="B1837" s="3058" t="s">
        <v>2244</v>
      </c>
      <c r="C1837" s="3046" t="s">
        <v>6602</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4062</v>
      </c>
      <c r="S1839" s="2681"/>
      <c r="T1839" s="2745"/>
    </row>
    <row r="1840" spans="1:20" s="652" customFormat="1" ht="12.75" customHeight="1">
      <c r="A1840" s="3274"/>
      <c r="B1840" s="3242" t="s">
        <v>6719</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6792</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3957</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6238</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6813</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3829</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6239</v>
      </c>
      <c r="C1852" s="474" t="s">
        <v>6901</v>
      </c>
      <c r="I1852" s="3064" t="s">
        <v>6239</v>
      </c>
      <c r="J1852" s="2999">
        <f>'Part VIII Scoring Criteria'!J361</f>
        <v>0</v>
      </c>
      <c r="K1852" s="2999"/>
      <c r="L1852" s="3064" t="s">
        <v>6239</v>
      </c>
      <c r="M1852" s="2989"/>
      <c r="N1852" s="2989"/>
      <c r="O1852" s="2989"/>
      <c r="P1852" s="2989"/>
      <c r="R1852" s="3168"/>
    </row>
    <row r="1853" spans="1:20" s="652" customFormat="1" ht="12.75" customHeight="1">
      <c r="B1853" s="3277" t="s">
        <v>6814</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6241</v>
      </c>
      <c r="H1855" s="652"/>
      <c r="I1855" s="652"/>
      <c r="J1855" s="2989">
        <f>'Part V-Revenues &amp; Expenses'!$P$67</f>
        <v>46</v>
      </c>
      <c r="K1855" s="2989"/>
      <c r="L1855" s="2692"/>
      <c r="M1855" s="2681"/>
      <c r="N1855" s="2681"/>
      <c r="O1855" s="3278"/>
      <c r="P1855" s="2681"/>
    </row>
    <row r="1856" spans="1:20" s="652" customFormat="1" ht="13.5" customHeight="1">
      <c r="C1856" s="2849"/>
      <c r="D1856" s="2849"/>
      <c r="E1856" s="2849"/>
      <c r="F1856" s="3112" t="s">
        <v>6242</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6243</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4062</v>
      </c>
      <c r="V1859" s="3260"/>
    </row>
    <row r="1860" spans="1:22" s="3093" customFormat="1" ht="12.75" customHeight="1">
      <c r="A1860" s="2950"/>
      <c r="B1860" s="3196" t="s">
        <v>1845</v>
      </c>
      <c r="C1860" s="3046" t="s">
        <v>6607</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3830</v>
      </c>
      <c r="N1862" s="3187" t="s">
        <v>2333</v>
      </c>
      <c r="O1862" s="3066">
        <f>'Part VIII Scoring Criteria'!O371</f>
        <v>0</v>
      </c>
      <c r="P1862" s="2976"/>
    </row>
    <row r="1863" spans="1:22" s="652" customFormat="1" ht="12" customHeight="1">
      <c r="B1863" s="2967" t="s">
        <v>3242</v>
      </c>
      <c r="N1863" s="2671"/>
      <c r="O1863" s="2671"/>
      <c r="P1863" s="2671"/>
    </row>
    <row r="1864" spans="1:22" s="3093" customFormat="1" ht="67.5">
      <c r="A1864" s="3049" t="str">
        <f>'Part VIII Scoring Criteria'!A373</f>
        <v>Applicant is not claiming points in this category.</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6902</v>
      </c>
      <c r="I1868" s="2822" t="s">
        <v>6254</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3958</v>
      </c>
      <c r="C1872" s="3046"/>
      <c r="D1872" s="3046"/>
      <c r="E1872" s="3046"/>
      <c r="F1872" s="3046"/>
      <c r="G1872" s="3046"/>
      <c r="H1872" s="3046"/>
      <c r="I1872" s="3046"/>
      <c r="M1872" s="2522">
        <v>2</v>
      </c>
      <c r="N1872" s="3058" t="s">
        <v>1842</v>
      </c>
      <c r="O1872" s="3173">
        <v>0</v>
      </c>
      <c r="P1872" s="3173"/>
      <c r="Q1872" s="3200" t="str">
        <f>IF(OR($O1872=$M1872,$O1872=0,$O1872=""),"","*CHECK!*")</f>
        <v/>
      </c>
      <c r="R1872" s="2694" t="s">
        <v>4062</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46</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3959</v>
      </c>
      <c r="C1879" s="3046"/>
      <c r="H1879" s="3046"/>
      <c r="M1879" s="3228">
        <v>2</v>
      </c>
      <c r="N1879" s="3058" t="s">
        <v>1844</v>
      </c>
      <c r="O1879" s="3173">
        <v>0</v>
      </c>
      <c r="P1879" s="3173"/>
      <c r="Q1879" s="3200" t="str">
        <f>IF(OR($O1879=$M1879,$O1879=0,$O1879=""),"","*CHECK!*")</f>
        <v/>
      </c>
      <c r="R1879" s="2694" t="s">
        <v>4062</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3831</v>
      </c>
      <c r="H1881" s="3022">
        <f>'Part V-Revenues &amp; Expenses'!$P$125</f>
        <v>0</v>
      </c>
      <c r="I1881" s="3229" t="s">
        <v>2519</v>
      </c>
      <c r="J1881" s="3022">
        <f>'Part V-Revenues &amp; Expenses'!$P$67</f>
        <v>46</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101.25">
      <c r="A1883" s="3049" t="str">
        <f>'Part VIII Scoring Criteria'!A392</f>
        <v>The project is new construction only. Applicant is not claiming points in this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4039</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6610</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6612</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6613</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6244</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6614</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168.75">
      <c r="A1904" s="3049" t="str">
        <f>'Part VIII Scoring Criteria'!A413</f>
        <v>The Applicant has controlling interest in the General Partnership and has agreed to contract with DCA PBRA under a prior QAP.</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6245</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15">
      <c r="A1910" s="3049" t="str">
        <f>'Part VIII Scoring Criteria'!A419</f>
        <v>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3806</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15">
      <c r="A1920" s="3049" t="str">
        <f>'Part VIII Scoring Criteria'!A429</f>
        <v>NA</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6137</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6138</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15">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69</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409.5">
      <c r="A1936" s="3049" t="str">
        <f>'Part VIII Scoring Criteria'!A445</f>
        <v>IV. Deeper targeting / Rent / Income Restrictions: Applicant has selected income averaging and overall property median income, calculated based on the imputed income and rent limitations for each affordable unit is less than 58% (57.83% actual).
XI. Mixed Income Developments: Applicant has made the income averaging minimu set-aside election, and does not include market rate units.
XV. Extended Affordability Commitment: Owner is willing to forgo the  Qualified Contract "cancellation option" and agrees to the Waiver of Qualified Contract Right and Right of First Refusal.
XIX. Exceptional Nonprofit / Public Housing Authority: The Applicant is claimng Exceptional Nonprofit points for this Applicantion. The Applicant did not recieve these points in the prior years competitive round and was not awarded these points in 2020 or 2021. This is the only application from the Nonprofit Applicant requesting these points in this funding round. All required forms and documention is in Tab 40 of the Application.
XXII. Compliance Performance: The Applicant is in full compliance and should recieve the full 10 points in this section.</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56" priority="90" stopIfTrue="1" operator="equal">
      <formula>"Make a selection FIRST --&gt;"</formula>
    </cfRule>
  </conditionalFormatting>
  <conditionalFormatting sqref="D287">
    <cfRule type="cellIs" dxfId="55" priority="87" operator="greaterThan">
      <formula>50.000001%</formula>
    </cfRule>
  </conditionalFormatting>
  <conditionalFormatting sqref="J501:L501">
    <cfRule type="cellIs" dxfId="54" priority="81" stopIfTrue="1" operator="greaterThan">
      <formula>$J$187</formula>
    </cfRule>
  </conditionalFormatting>
  <conditionalFormatting sqref="K349:K350 N349:N350 Q349:Q350">
    <cfRule type="cellIs" dxfId="53" priority="79" operator="greaterThan">
      <formula>$G$40</formula>
    </cfRule>
  </conditionalFormatting>
  <conditionalFormatting sqref="O484:V484">
    <cfRule type="cellIs" dxfId="52" priority="78" operator="equal">
      <formula>"QAP Cost Limit TDC exceeds Project Cost Limit!"</formula>
    </cfRule>
  </conditionalFormatting>
  <conditionalFormatting sqref="I613:M613">
    <cfRule type="cellIs" dxfId="51" priority="74" operator="equal">
      <formula>"Select Fuel"</formula>
    </cfRule>
    <cfRule type="cellIs" dxfId="50" priority="75" operator="equal">
      <formula>"&lt;&lt;Select Fuel &gt;&gt;"</formula>
    </cfRule>
  </conditionalFormatting>
  <conditionalFormatting sqref="J613:M613">
    <cfRule type="cellIs" dxfId="49" priority="73" operator="equal">
      <formula>"Select Fuel"</formula>
    </cfRule>
  </conditionalFormatting>
  <conditionalFormatting sqref="I630:M630">
    <cfRule type="cellIs" dxfId="48" priority="70" operator="equal">
      <formula>"Select Fuel"</formula>
    </cfRule>
    <cfRule type="cellIs" dxfId="47" priority="71" operator="equal">
      <formula>"&lt;&lt;Select Fuel &gt;&gt;"</formula>
    </cfRule>
  </conditionalFormatting>
  <conditionalFormatting sqref="J630:M630">
    <cfRule type="cellIs" dxfId="46" priority="69" operator="equal">
      <formula>"Select Fuel"</formula>
    </cfRule>
  </conditionalFormatting>
  <conditionalFormatting sqref="U764 U739:U741 U750 U729:U730">
    <cfRule type="cellIs" dxfId="45" priority="67" stopIfTrue="1" operator="greaterThan">
      <formula>0</formula>
    </cfRule>
  </conditionalFormatting>
  <conditionalFormatting sqref="P817">
    <cfRule type="cellIs" dxfId="44" priority="64" operator="greaterThan">
      <formula>0.02</formula>
    </cfRule>
  </conditionalFormatting>
  <conditionalFormatting sqref="Q649:Q686">
    <cfRule type="expression" dxfId="43" priority="63">
      <formula>AND($P$11="New Construction",$Q$11="Yes")</formula>
    </cfRule>
  </conditionalFormatting>
  <conditionalFormatting sqref="K694:P705 K794:P806 K774:P792 K731:P769">
    <cfRule type="cellIs" dxfId="42" priority="62" operator="equal">
      <formula>0</formula>
    </cfRule>
  </conditionalFormatting>
  <conditionalFormatting sqref="U793">
    <cfRule type="cellIs" dxfId="41" priority="60" stopIfTrue="1" operator="greaterThan">
      <formula>0</formula>
    </cfRule>
  </conditionalFormatting>
  <conditionalFormatting sqref="K793:P793">
    <cfRule type="cellIs" dxfId="40" priority="59" operator="equal">
      <formula>0</formula>
    </cfRule>
  </conditionalFormatting>
  <conditionalFormatting sqref="L740:O740">
    <cfRule type="cellIs" dxfId="39" priority="56" operator="equal">
      <formula>"&lt;&lt; Select LIHTC Election &gt;&gt;"</formula>
    </cfRule>
    <cfRule type="containsText" dxfId="38" priority="58" operator="containsText" text="&lt;&lt; Select Election or Income Averaging &gt;&gt;">
      <formula>NOT(ISERROR(SEARCH("&lt;&lt; Select Election or Income Averaging &gt;&gt;",L740)))</formula>
    </cfRule>
  </conditionalFormatting>
  <conditionalFormatting sqref="L783:O783">
    <cfRule type="cellIs" dxfId="37" priority="55" operator="equal">
      <formula>"&lt;&lt; Select LIHTC Election &gt;&gt;"</formula>
    </cfRule>
    <cfRule type="containsText" dxfId="36" priority="57" operator="containsText" text="&lt;&lt; Select Election or Income Averaging &gt;&gt;">
      <formula>NOT(ISERROR(SEARCH("&lt;&lt; Select Election or Income Averaging &gt;&gt;",L783)))</formula>
    </cfRule>
  </conditionalFormatting>
  <conditionalFormatting sqref="K770:P771">
    <cfRule type="cellIs" dxfId="35" priority="54" operator="equal">
      <formula>0</formula>
    </cfRule>
  </conditionalFormatting>
  <conditionalFormatting sqref="A644:A648">
    <cfRule type="cellIs" dxfId="34" priority="53" operator="equal">
      <formula>"Finish Row!"</formula>
    </cfRule>
  </conditionalFormatting>
  <conditionalFormatting sqref="U707">
    <cfRule type="cellIs" dxfId="33" priority="52" stopIfTrue="1" operator="greaterThan">
      <formula>0</formula>
    </cfRule>
  </conditionalFormatting>
  <conditionalFormatting sqref="K768:P769">
    <cfRule type="cellIs" dxfId="32" priority="51" operator="equal">
      <formula>0</formula>
    </cfRule>
  </conditionalFormatting>
  <conditionalFormatting sqref="K772:P773">
    <cfRule type="cellIs" dxfId="31" priority="50" operator="equal">
      <formula>0</formula>
    </cfRule>
  </conditionalFormatting>
  <conditionalFormatting sqref="A926">
    <cfRule type="expression" dxfId="30" priority="48">
      <formula>"or(B28&lt;$G$6,C28&lt;$G$6,D28&lt;$G$6,E28&lt;$G$6,F28&lt;$G$6,G28&lt;$G$6,H28&lt;$G$6,I28&lt;$G$6,J28&lt;$G$6,K28&lt;$G$6,)"</formula>
    </cfRule>
  </conditionalFormatting>
  <conditionalFormatting sqref="A958">
    <cfRule type="expression" dxfId="29" priority="47">
      <formula>"or(B28&lt;$G$6,C28&lt;$G$6,D28&lt;$G$6,E28&lt;$G$6,F28&lt;$G$6,G28&lt;$G$6,H28&lt;$G$6,I28&lt;$G$6,J28&lt;$G$6,K28&lt;$G$6,)"</formula>
    </cfRule>
  </conditionalFormatting>
  <conditionalFormatting sqref="A990">
    <cfRule type="expression" dxfId="28" priority="46">
      <formula>"or(B28&lt;$G$6,C28&lt;$G$6,D28&lt;$G$6,E28&lt;$G$6,F28&lt;$G$6,G28&lt;$G$6,H28&lt;$G$6,I28&lt;$G$6,J28&lt;$G$6,K28&lt;$G$6,)"</formula>
    </cfRule>
  </conditionalFormatting>
  <conditionalFormatting sqref="A919">
    <cfRule type="expression" dxfId="27" priority="45">
      <formula>"or(B28&lt;$G$6,C28&lt;$G$6,D28&lt;$G$6,E28&lt;$G$6,F28&lt;$G$6,G28&lt;$G$6,H28&lt;$G$6,I28&lt;$G$6,J28&lt;$G$6,K28&lt;$G$6,)"</formula>
    </cfRule>
  </conditionalFormatting>
  <conditionalFormatting sqref="A951">
    <cfRule type="expression" dxfId="26" priority="44">
      <formula>"or(B28&lt;$G$6,C28&lt;$G$6,D28&lt;$G$6,E28&lt;$G$6,F28&lt;$G$6,G28&lt;$G$6,H28&lt;$G$6,I28&lt;$G$6,J28&lt;$G$6,K28&lt;$G$6,)"</formula>
    </cfRule>
  </conditionalFormatting>
  <conditionalFormatting sqref="A983">
    <cfRule type="expression" dxfId="25" priority="43">
      <formula>"or(B28&lt;$G$6,C28&lt;$G$6,D28&lt;$G$6,E28&lt;$G$6,F28&lt;$G$6,G28&lt;$G$6,H28&lt;$G$6,I28&lt;$G$6,J28&lt;$G$6,K28&lt;$G$6,)"</formula>
    </cfRule>
  </conditionalFormatting>
  <conditionalFormatting sqref="A1013">
    <cfRule type="expression" dxfId="24" priority="42">
      <formula>"or(B28&lt;$G$6,C28&lt;$G$6,D28&lt;$G$6,E28&lt;$G$6,F28&lt;$G$6,G28&lt;$G$6,H28&lt;$G$6,I28&lt;$G$6,J28&lt;$G$6,K28&lt;$G$6,)"</formula>
    </cfRule>
  </conditionalFormatting>
  <conditionalFormatting sqref="O1642:P1642">
    <cfRule type="cellIs" dxfId="23" priority="38" operator="greaterThan">
      <formula>M1642</formula>
    </cfRule>
  </conditionalFormatting>
  <conditionalFormatting sqref="F1595">
    <cfRule type="expression" dxfId="22" priority="39">
      <formula>AND($O$204&gt;0,$O$204&lt;4,OR($I$204="Statutory Redevelopment Plan",$I$204="Redevelopment Zone",$I$204="Local Redevelopment Plan"))</formula>
    </cfRule>
  </conditionalFormatting>
  <conditionalFormatting sqref="O1584">
    <cfRule type="cellIs" dxfId="21" priority="26" operator="notEqual">
      <formula>$M1584</formula>
    </cfRule>
  </conditionalFormatting>
  <conditionalFormatting sqref="O1631 O1633">
    <cfRule type="cellIs" dxfId="20" priority="21" operator="notEqual">
      <formula>$M1631</formula>
    </cfRule>
  </conditionalFormatting>
  <conditionalFormatting sqref="O1623">
    <cfRule type="cellIs" dxfId="19" priority="22" operator="notEqual">
      <formula>$M1623</formula>
    </cfRule>
  </conditionalFormatting>
  <conditionalFormatting sqref="O1585">
    <cfRule type="cellIs" dxfId="18" priority="18" operator="notEqual">
      <formula>$M1585</formula>
    </cfRule>
  </conditionalFormatting>
  <conditionalFormatting sqref="O1672">
    <cfRule type="cellIs" dxfId="17" priority="20" operator="notEqual">
      <formula>$M1672</formula>
    </cfRule>
  </conditionalFormatting>
  <conditionalFormatting sqref="O1674">
    <cfRule type="cellIs" dxfId="16" priority="19" operator="notEqual">
      <formula>$M1674</formula>
    </cfRule>
  </conditionalFormatting>
  <conditionalFormatting sqref="I1581">
    <cfRule type="containsText" dxfId="15" priority="16" operator="containsText" text="&lt;&lt; Select Election or Income Averaging &gt;&gt;">
      <formula>NOT(ISERROR(SEARCH("&lt;&lt; Select Election or Income Averaging &gt;&gt;",I1581)))</formula>
    </cfRule>
  </conditionalFormatting>
  <conditionalFormatting sqref="O1579">
    <cfRule type="containsText" dxfId="14" priority="15" operator="containsText" text="AorB?">
      <formula>NOT(ISERROR(SEARCH("AorB?",O1579)))</formula>
    </cfRule>
  </conditionalFormatting>
  <conditionalFormatting sqref="M1625">
    <cfRule type="containsText" dxfId="13" priority="14" operator="containsText" text="Pick A1 or A2!">
      <formula>NOT(ISERROR(SEARCH("Pick A1 or A2!",M1625)))</formula>
    </cfRule>
  </conditionalFormatting>
  <conditionalFormatting sqref="P1672">
    <cfRule type="cellIs" dxfId="12" priority="13" operator="notEqual">
      <formula>$M1672</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hyperlink ref="N1313" r:id="rId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0"/>
  <dimension ref="A1:AZ109"/>
  <sheetViews>
    <sheetView showGridLines="0" topLeftCell="A2" zoomScaleNormal="100" workbookViewId="0">
      <selection activeCell="L60" sqref="L60"/>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6312</v>
      </c>
      <c r="C1" s="2287"/>
      <c r="D1" s="2287"/>
      <c r="E1" s="2287" t="s">
        <v>6331</v>
      </c>
      <c r="F1" s="2287"/>
      <c r="G1" s="2288"/>
      <c r="H1" s="2288" t="s">
        <v>6332</v>
      </c>
      <c r="I1" s="2288" t="s">
        <v>6333</v>
      </c>
      <c r="J1" s="2288"/>
      <c r="K1" s="2288" t="s">
        <v>6334</v>
      </c>
      <c r="L1" s="2288" t="s">
        <v>6335</v>
      </c>
      <c r="M1" s="2289" t="s">
        <v>6336</v>
      </c>
      <c r="N1" s="2289" t="s">
        <v>6337</v>
      </c>
      <c r="P1" s="2289" t="s">
        <v>6338</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Magnolia Villas, Tifton, Tift County</v>
      </c>
      <c r="B2" s="3409"/>
      <c r="C2" s="3409"/>
      <c r="D2" s="3409"/>
      <c r="E2" s="3409"/>
      <c r="F2" s="3409"/>
      <c r="G2" s="3409"/>
      <c r="H2" s="3409"/>
      <c r="I2" s="3409"/>
      <c r="J2" s="3409"/>
      <c r="K2" s="3409"/>
      <c r="L2" s="3409"/>
      <c r="M2" s="3409"/>
      <c r="N2" s="3409"/>
      <c r="O2" s="3409"/>
      <c r="P2" s="3409"/>
      <c r="Q2" s="3410"/>
      <c r="S2" s="3498" t="str">
        <f>$A$2</f>
        <v>PART TWO - SOURCES OF FUNDS (Proposed)  -  2022-0 Magnolia Villas, Tifton, Tift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6082</v>
      </c>
      <c r="G6" s="315"/>
      <c r="I6" s="3509"/>
      <c r="J6" s="3510"/>
      <c r="L6" s="1559" t="s">
        <v>2654</v>
      </c>
      <c r="M6" s="292" t="s">
        <v>1438</v>
      </c>
      <c r="Q6" s="2108"/>
      <c r="S6" s="3500"/>
      <c r="T6" s="3501"/>
      <c r="Y6" s="2290"/>
      <c r="Z6" s="2246">
        <v>6</v>
      </c>
      <c r="AZ6" s="2212"/>
    </row>
    <row r="7" spans="1:52" s="291" customFormat="1" ht="16.5" customHeight="1">
      <c r="A7" s="495"/>
      <c r="B7" s="1543" t="s">
        <v>2654</v>
      </c>
      <c r="C7" s="292" t="s">
        <v>3880</v>
      </c>
      <c r="D7" s="315"/>
      <c r="E7" s="1542" t="s">
        <v>2654</v>
      </c>
      <c r="F7" s="292" t="s">
        <v>6083</v>
      </c>
      <c r="I7" s="3511"/>
      <c r="J7" s="3512"/>
      <c r="L7" s="1543" t="s">
        <v>2654</v>
      </c>
      <c r="M7" s="292" t="s">
        <v>514</v>
      </c>
      <c r="P7" s="2108"/>
      <c r="Q7" s="2108"/>
      <c r="S7" s="3502"/>
      <c r="T7" s="3503"/>
      <c r="Y7" s="2290"/>
      <c r="Z7" s="2246">
        <v>7</v>
      </c>
      <c r="AZ7" s="2212"/>
    </row>
    <row r="8" spans="1:52" s="291" customFormat="1" ht="16.5" customHeight="1">
      <c r="A8" s="315"/>
      <c r="B8" s="1543" t="s">
        <v>2654</v>
      </c>
      <c r="C8" s="292" t="s">
        <v>6668</v>
      </c>
      <c r="F8" s="291" t="s">
        <v>6671</v>
      </c>
      <c r="H8" s="3523" t="s">
        <v>3068</v>
      </c>
      <c r="I8" s="3524"/>
      <c r="J8" s="3525"/>
      <c r="L8" s="1543" t="s">
        <v>2654</v>
      </c>
      <c r="M8" s="310" t="s">
        <v>6673</v>
      </c>
      <c r="P8" s="2108"/>
      <c r="Q8" s="2108"/>
      <c r="S8" s="3502"/>
      <c r="T8" s="3503"/>
      <c r="Y8" s="2290"/>
      <c r="Z8" s="2246">
        <v>8</v>
      </c>
      <c r="AZ8" s="2212"/>
    </row>
    <row r="9" spans="1:52" s="291" customFormat="1" ht="16.5" customHeight="1">
      <c r="A9" s="495"/>
      <c r="B9" s="1543" t="s">
        <v>2654</v>
      </c>
      <c r="C9" s="291" t="s">
        <v>3302</v>
      </c>
      <c r="E9" s="1563" t="s">
        <v>2654</v>
      </c>
      <c r="F9" s="3515" t="s">
        <v>6667</v>
      </c>
      <c r="G9" s="3516"/>
      <c r="H9" s="3513"/>
      <c r="I9" s="3513"/>
      <c r="J9" s="3514"/>
      <c r="L9" s="1543" t="s">
        <v>2654</v>
      </c>
      <c r="M9" s="310" t="s">
        <v>3881</v>
      </c>
      <c r="Q9" s="2108"/>
      <c r="S9" s="3504"/>
      <c r="T9" s="3505"/>
      <c r="Y9" s="2290"/>
      <c r="Z9" s="2246">
        <v>9</v>
      </c>
      <c r="AZ9" s="2212"/>
    </row>
    <row r="10" spans="1:52" s="291" customFormat="1" ht="16.5" customHeight="1">
      <c r="A10" s="495"/>
      <c r="B10" s="1543" t="s">
        <v>2654</v>
      </c>
      <c r="C10" s="292" t="s">
        <v>2395</v>
      </c>
      <c r="F10" s="3517" t="s">
        <v>3771</v>
      </c>
      <c r="G10" s="3518"/>
      <c r="H10" s="3518"/>
      <c r="I10" s="3518"/>
      <c r="J10" s="3519"/>
      <c r="L10" s="1543" t="s">
        <v>2654</v>
      </c>
      <c r="M10" s="292" t="s">
        <v>3195</v>
      </c>
      <c r="P10" s="2108"/>
      <c r="Q10" s="2108"/>
      <c r="S10" s="3500"/>
      <c r="T10" s="3501"/>
      <c r="Y10" s="2290"/>
      <c r="Z10" s="2245">
        <v>10</v>
      </c>
      <c r="AZ10" s="2212"/>
    </row>
    <row r="11" spans="1:52" s="291" customFormat="1" ht="16.5" customHeight="1">
      <c r="A11" s="495"/>
      <c r="B11" s="1543" t="s">
        <v>2654</v>
      </c>
      <c r="C11" s="292" t="s">
        <v>2396</v>
      </c>
      <c r="E11" s="1563" t="s">
        <v>2654</v>
      </c>
      <c r="F11" s="3513" t="s">
        <v>6669</v>
      </c>
      <c r="G11" s="3513"/>
      <c r="H11" s="3513"/>
      <c r="I11" s="3513"/>
      <c r="J11" s="3514"/>
      <c r="L11" s="1543" t="s">
        <v>2654</v>
      </c>
      <c r="M11" s="291" t="s">
        <v>2399</v>
      </c>
      <c r="S11" s="3502"/>
      <c r="T11" s="3503"/>
      <c r="Y11" s="2290"/>
      <c r="Z11" s="2246">
        <v>11</v>
      </c>
      <c r="AZ11" s="2212"/>
    </row>
    <row r="12" spans="1:52" s="291" customFormat="1" ht="16.5" customHeight="1">
      <c r="A12" s="495"/>
      <c r="B12" s="2097" t="s">
        <v>2654</v>
      </c>
      <c r="C12" s="310" t="s">
        <v>3196</v>
      </c>
      <c r="F12" s="3506" t="s">
        <v>3772</v>
      </c>
      <c r="G12" s="3507"/>
      <c r="H12" s="3526"/>
      <c r="I12" s="3526"/>
      <c r="J12" s="3527"/>
      <c r="L12" s="1543" t="s">
        <v>2654</v>
      </c>
      <c r="M12" s="291" t="s">
        <v>3222</v>
      </c>
      <c r="S12" s="3502"/>
      <c r="T12" s="3503"/>
      <c r="Y12" s="2290"/>
      <c r="Z12" s="2246">
        <v>12</v>
      </c>
      <c r="AZ12" s="2212"/>
    </row>
    <row r="13" spans="1:52" s="291" customFormat="1" ht="16.5" customHeight="1">
      <c r="A13" s="495"/>
      <c r="B13" s="2097" t="s">
        <v>2654</v>
      </c>
      <c r="C13" s="310" t="s">
        <v>6670</v>
      </c>
      <c r="E13" s="1559" t="s">
        <v>2654</v>
      </c>
      <c r="F13" s="310" t="s">
        <v>6672</v>
      </c>
      <c r="H13" s="3506" t="s">
        <v>3293</v>
      </c>
      <c r="I13" s="3507"/>
      <c r="J13" s="3508"/>
      <c r="L13" s="2097" t="s">
        <v>2654</v>
      </c>
      <c r="M13" s="291" t="s">
        <v>6081</v>
      </c>
      <c r="S13" s="3502"/>
      <c r="T13" s="3503"/>
      <c r="Y13" s="2290"/>
      <c r="Z13" s="2246">
        <v>13</v>
      </c>
      <c r="AZ13" s="2212"/>
    </row>
    <row r="14" spans="1:52" s="291" customFormat="1" ht="16.5" customHeight="1">
      <c r="A14" s="495"/>
      <c r="B14" s="1543" t="s">
        <v>2654</v>
      </c>
      <c r="C14" s="291" t="s">
        <v>2398</v>
      </c>
      <c r="E14" s="2097" t="s">
        <v>2654</v>
      </c>
      <c r="F14" s="310" t="s">
        <v>3301</v>
      </c>
      <c r="L14" s="2097" t="s">
        <v>2654</v>
      </c>
      <c r="M14" s="291" t="s">
        <v>6717</v>
      </c>
      <c r="S14" s="3504"/>
      <c r="T14" s="3505"/>
      <c r="Y14" s="2290"/>
      <c r="Z14" s="2246">
        <v>14</v>
      </c>
      <c r="AZ14" s="2212"/>
    </row>
    <row r="15" spans="1:52" s="291" customFormat="1" ht="16.5" customHeight="1">
      <c r="A15" s="495"/>
      <c r="B15" s="1543" t="s">
        <v>2654</v>
      </c>
      <c r="C15" s="291" t="s">
        <v>3221</v>
      </c>
      <c r="E15" s="2097" t="s">
        <v>2654</v>
      </c>
      <c r="F15" s="310" t="s">
        <v>6084</v>
      </c>
      <c r="L15" s="2097" t="s">
        <v>2654</v>
      </c>
      <c r="M15" s="2109" t="s">
        <v>6085</v>
      </c>
      <c r="Y15" s="2290"/>
      <c r="Z15" s="2246">
        <v>15</v>
      </c>
      <c r="AZ15" s="2212"/>
    </row>
    <row r="16" spans="1:52" s="291" customFormat="1" ht="16.5" customHeight="1">
      <c r="A16" s="495"/>
      <c r="B16" s="1542" t="s">
        <v>2654</v>
      </c>
      <c r="C16" s="292" t="s">
        <v>1674</v>
      </c>
      <c r="E16" s="2098" t="s">
        <v>2654</v>
      </c>
      <c r="F16" s="292" t="s">
        <v>6504</v>
      </c>
      <c r="I16" s="3484"/>
      <c r="J16" s="3485"/>
      <c r="L16" s="2098" t="s">
        <v>2654</v>
      </c>
      <c r="M16" s="2109" t="s">
        <v>6080</v>
      </c>
      <c r="Y16" s="2290"/>
      <c r="Z16" s="2246">
        <v>16</v>
      </c>
      <c r="AZ16" s="2212"/>
    </row>
    <row r="17" spans="1:52" s="291" customFormat="1" ht="17.100000000000001" customHeight="1">
      <c r="A17" s="495"/>
      <c r="B17" s="291" t="s">
        <v>3882</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3848</v>
      </c>
      <c r="M21" s="3488"/>
      <c r="N21" s="3488" t="s">
        <v>1411</v>
      </c>
      <c r="O21" s="3488"/>
      <c r="P21" s="3488" t="s">
        <v>1524</v>
      </c>
      <c r="Q21" s="3488"/>
      <c r="S21" s="3499" t="s">
        <v>2449</v>
      </c>
      <c r="T21" s="3499"/>
      <c r="Y21" s="2290"/>
      <c r="Z21" s="2246">
        <v>21</v>
      </c>
      <c r="AZ21" s="2212" t="s">
        <v>6346</v>
      </c>
    </row>
    <row r="22" spans="1:52" s="291" customFormat="1" ht="15.75" customHeight="1">
      <c r="A22" s="315"/>
      <c r="B22" s="3528" t="s">
        <v>1487</v>
      </c>
      <c r="C22" s="3529"/>
      <c r="D22" s="3529"/>
      <c r="E22" s="1042"/>
      <c r="F22" s="1042"/>
      <c r="G22" s="1042"/>
      <c r="H22" s="3530" t="s">
        <v>7025</v>
      </c>
      <c r="I22" s="3531"/>
      <c r="J22" s="3531"/>
      <c r="K22" s="3532"/>
      <c r="L22" s="3533">
        <v>9396368</v>
      </c>
      <c r="M22" s="3534"/>
      <c r="N22" s="3535">
        <v>5.5E-2</v>
      </c>
      <c r="O22" s="3536"/>
      <c r="P22" s="3537">
        <v>24</v>
      </c>
      <c r="Q22" s="3538"/>
      <c r="S22" s="3500"/>
      <c r="T22" s="3501"/>
      <c r="Y22" s="2290" t="s">
        <v>6346</v>
      </c>
      <c r="Z22" s="2246">
        <v>22</v>
      </c>
      <c r="AZ22" s="2212" t="s">
        <v>6347</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6347</v>
      </c>
      <c r="Z23" s="2246">
        <v>23</v>
      </c>
      <c r="AZ23" s="2212" t="s">
        <v>6348</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6348</v>
      </c>
      <c r="Z24" s="2246">
        <v>24</v>
      </c>
      <c r="AZ24" s="2212" t="s">
        <v>6349</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6349</v>
      </c>
      <c r="Z25" s="2246">
        <v>25</v>
      </c>
      <c r="AZ25" s="2212" t="s">
        <v>6350</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6350</v>
      </c>
      <c r="Z26" s="2245">
        <v>26</v>
      </c>
      <c r="AZ26" s="2212" t="s">
        <v>6351</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6351</v>
      </c>
      <c r="Z27" s="2246">
        <v>27</v>
      </c>
      <c r="AZ27" s="2212" t="s">
        <v>6352</v>
      </c>
    </row>
    <row r="28" spans="1:52" s="291" customFormat="1" ht="15.75" customHeight="1">
      <c r="A28" s="315"/>
      <c r="B28" s="3539" t="s">
        <v>746</v>
      </c>
      <c r="C28" s="3540"/>
      <c r="D28" s="3540"/>
      <c r="E28" s="1041"/>
      <c r="H28" s="3541" t="s">
        <v>6912</v>
      </c>
      <c r="I28" s="3542"/>
      <c r="J28" s="3542"/>
      <c r="K28" s="3543"/>
      <c r="L28" s="3544">
        <v>1741730</v>
      </c>
      <c r="M28" s="3545"/>
      <c r="N28" s="315"/>
      <c r="Q28" s="315"/>
      <c r="S28" s="3504"/>
      <c r="T28" s="3505"/>
      <c r="Y28" s="2290" t="s">
        <v>6352</v>
      </c>
      <c r="Z28" s="2246">
        <v>28</v>
      </c>
      <c r="AZ28" s="2212" t="s">
        <v>6353</v>
      </c>
    </row>
    <row r="29" spans="1:52" s="291" customFormat="1" ht="15.75" customHeight="1">
      <c r="A29" s="315"/>
      <c r="B29" s="3539" t="s">
        <v>747</v>
      </c>
      <c r="C29" s="3540"/>
      <c r="D29" s="3540"/>
      <c r="E29" s="1041"/>
      <c r="H29" s="3541" t="s">
        <v>6912</v>
      </c>
      <c r="I29" s="3542"/>
      <c r="J29" s="3542"/>
      <c r="K29" s="3543"/>
      <c r="L29" s="3544">
        <v>783496</v>
      </c>
      <c r="M29" s="3545"/>
      <c r="N29" s="315"/>
      <c r="Q29" s="315"/>
      <c r="S29" s="3500"/>
      <c r="T29" s="3501"/>
      <c r="Y29" s="2290" t="s">
        <v>6353</v>
      </c>
      <c r="Z29" s="2246">
        <v>29</v>
      </c>
      <c r="AZ29" s="2212" t="s">
        <v>6354</v>
      </c>
    </row>
    <row r="30" spans="1:52" s="291" customFormat="1" ht="15.75" customHeight="1">
      <c r="A30" s="315"/>
      <c r="B30" s="1040" t="s">
        <v>232</v>
      </c>
      <c r="C30" s="1041"/>
      <c r="D30" s="3560" t="s">
        <v>7011</v>
      </c>
      <c r="E30" s="3560"/>
      <c r="F30" s="3560"/>
      <c r="G30" s="3560"/>
      <c r="H30" s="3541"/>
      <c r="I30" s="3542"/>
      <c r="J30" s="3542"/>
      <c r="K30" s="3543"/>
      <c r="L30" s="3544">
        <v>110</v>
      </c>
      <c r="M30" s="3545"/>
      <c r="N30" s="315"/>
      <c r="Q30" s="315"/>
      <c r="S30" s="3502"/>
      <c r="T30" s="3503"/>
      <c r="Y30" s="2290" t="s">
        <v>6354</v>
      </c>
      <c r="Z30" s="2246">
        <v>30</v>
      </c>
      <c r="AZ30" s="2212" t="s">
        <v>6355</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6355</v>
      </c>
      <c r="Z31" s="2246">
        <v>31</v>
      </c>
      <c r="AZ31" s="2212" t="s">
        <v>6356</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6356</v>
      </c>
      <c r="Z32" s="2246">
        <v>32</v>
      </c>
      <c r="AZ32" s="2212"/>
    </row>
    <row r="33" spans="1:52" s="291" customFormat="1" ht="16.5" customHeight="1">
      <c r="A33" s="315"/>
      <c r="B33" s="290" t="s">
        <v>1222</v>
      </c>
      <c r="C33" s="315"/>
      <c r="D33" s="315"/>
      <c r="E33" s="315"/>
      <c r="F33" s="315"/>
      <c r="G33" s="315"/>
      <c r="H33" s="315"/>
      <c r="I33" s="315"/>
      <c r="L33" s="3563">
        <f>SUM(L22:L32)</f>
        <v>11921704</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11921704</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0</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3847</v>
      </c>
      <c r="J39" s="3488"/>
      <c r="K39" s="1035" t="s">
        <v>1676</v>
      </c>
      <c r="L39" s="1035" t="s">
        <v>2047</v>
      </c>
      <c r="M39" s="1035" t="s">
        <v>2047</v>
      </c>
      <c r="N39" s="3488" t="s">
        <v>69</v>
      </c>
      <c r="O39" s="3488"/>
      <c r="P39" s="3570"/>
      <c r="Q39" s="3570"/>
      <c r="S39" s="3499" t="s">
        <v>2449</v>
      </c>
      <c r="T39" s="3499"/>
      <c r="Y39" s="2290"/>
      <c r="Z39" s="2246">
        <v>39</v>
      </c>
      <c r="AZ39" s="2212" t="s">
        <v>6357</v>
      </c>
    </row>
    <row r="40" spans="1:52" s="291" customFormat="1" ht="15" customHeight="1">
      <c r="A40" s="315"/>
      <c r="B40" s="3528" t="s">
        <v>2403</v>
      </c>
      <c r="C40" s="3529"/>
      <c r="D40" s="3529"/>
      <c r="E40" s="3530" t="s">
        <v>7025</v>
      </c>
      <c r="F40" s="3531"/>
      <c r="G40" s="3531"/>
      <c r="H40" s="3532"/>
      <c r="I40" s="3591">
        <v>525000</v>
      </c>
      <c r="J40" s="3592"/>
      <c r="K40" s="836">
        <v>6.5000000000000002E-2</v>
      </c>
      <c r="L40" s="1043">
        <v>15</v>
      </c>
      <c r="M40" s="1043">
        <v>30</v>
      </c>
      <c r="N40" s="3576" t="s">
        <v>6942</v>
      </c>
      <c r="O40" s="3576"/>
      <c r="P40" s="3590">
        <f>IF(OR(I40&lt;=0,I40=""),"",IF(N40="Cash Flow",0,IF(N40="Amortizing",-PMT(K40/12,M40*12,I40,0,0)*12,"")))</f>
        <v>39820.285480056715</v>
      </c>
      <c r="Q40" s="3590"/>
      <c r="S40" s="3500"/>
      <c r="T40" s="3501"/>
      <c r="Y40" s="2290" t="s">
        <v>6357</v>
      </c>
      <c r="Z40" s="2246">
        <v>40</v>
      </c>
      <c r="AZ40" s="2212" t="s">
        <v>6358</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6358</v>
      </c>
      <c r="Z41" s="2246">
        <v>41</v>
      </c>
      <c r="AZ41" s="2212" t="s">
        <v>6359</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6359</v>
      </c>
      <c r="Z42" s="2246">
        <v>42</v>
      </c>
      <c r="AZ42" s="2212" t="s">
        <v>6360</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6360</v>
      </c>
      <c r="Z43" s="2246">
        <v>43</v>
      </c>
      <c r="AZ43" s="2212" t="s">
        <v>6361</v>
      </c>
    </row>
    <row r="44" spans="1:52" s="291" customFormat="1" ht="15" customHeight="1">
      <c r="A44" s="315"/>
      <c r="B44" s="1040" t="s">
        <v>3947</v>
      </c>
      <c r="C44" s="1041"/>
      <c r="D44" s="1045"/>
      <c r="E44" s="3541"/>
      <c r="F44" s="3542"/>
      <c r="G44" s="3542"/>
      <c r="H44" s="3543"/>
      <c r="I44" s="3573"/>
      <c r="J44" s="3574"/>
      <c r="K44" s="476"/>
      <c r="L44" s="1039"/>
      <c r="M44" s="1039"/>
      <c r="N44" s="3605"/>
      <c r="O44" s="3605"/>
      <c r="P44" s="3604"/>
      <c r="Q44" s="3604"/>
      <c r="S44" s="3502"/>
      <c r="T44" s="3503"/>
      <c r="Y44" s="2290" t="s">
        <v>6361</v>
      </c>
      <c r="Z44" s="2245">
        <v>44</v>
      </c>
      <c r="AZ44" s="2212" t="s">
        <v>6362</v>
      </c>
    </row>
    <row r="45" spans="1:52" s="291" customFormat="1" ht="15" customHeight="1">
      <c r="A45" s="315"/>
      <c r="B45" s="1047" t="s">
        <v>220</v>
      </c>
      <c r="C45" s="1048"/>
      <c r="D45" s="391">
        <f>IF(OR(I45="",I45=0,'Part III-A-Uses of Funds'!$G$127="",'Part III-A-Uses of Funds'!$G$127=0),"",I45/'Part III-A-Uses of Funds'!$G$127)</f>
        <v>1.6222489959839357E-2</v>
      </c>
      <c r="E45" s="3489" t="s">
        <v>7012</v>
      </c>
      <c r="F45" s="3490"/>
      <c r="G45" s="3490"/>
      <c r="H45" s="3491"/>
      <c r="I45" s="3577">
        <v>20197</v>
      </c>
      <c r="J45" s="3578"/>
      <c r="K45" s="835">
        <v>0</v>
      </c>
      <c r="L45" s="834">
        <v>15</v>
      </c>
      <c r="M45" s="834"/>
      <c r="N45" s="3321" t="s">
        <v>1097</v>
      </c>
      <c r="O45" s="3322"/>
      <c r="P45" s="3579">
        <f>IF(OR(I45&lt;=0,I45=""),"",IF(N45="Cash Flow",0,IF(N45="Amortizing",-PMT(K45/12,M45*12,I45,0,0)*12,"")))</f>
        <v>0</v>
      </c>
      <c r="Q45" s="3580"/>
      <c r="S45" s="3502"/>
      <c r="T45" s="3503"/>
      <c r="Y45" s="2290" t="s">
        <v>6362</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3407</v>
      </c>
      <c r="C47" s="1217"/>
      <c r="E47" s="291" t="s">
        <v>3365</v>
      </c>
      <c r="F47" s="3588">
        <f>IF(OR($I$45="",$I$45=0,'Part VI-Pro Forma'!$S$35=0,'Part VI-Pro Forma'!$S$35=""),"",VLOOKUP($L$45,'Part VI-Pro Forma'!$Q$21:$S$40,3))</f>
        <v>221299.30506328237</v>
      </c>
      <c r="G47" s="3589"/>
      <c r="H47" s="628" t="s">
        <v>3406</v>
      </c>
      <c r="I47" s="3588">
        <f>IF(OR($I$45="",$I$45=0,'Part VI-Pro Forma'!$R$35=0,'Part VI-Pro Forma'!$R$35=""),"",VLOOKUP($L$45,'Part VI-Pro Forma'!$Q$21:$S$35,2))</f>
        <v>20197</v>
      </c>
      <c r="J47" s="3589"/>
      <c r="K47" s="628" t="s">
        <v>3408</v>
      </c>
      <c r="L47" s="3586">
        <f>IF(OR($F$47 = 0,$F$47 =""),"",$I$47/$F$47)</f>
        <v>9.126553738713504E-2</v>
      </c>
      <c r="M47" s="3587"/>
      <c r="N47" s="3611" t="s">
        <v>3851</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6363</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6363</v>
      </c>
      <c r="Z49" s="2246">
        <v>49</v>
      </c>
      <c r="AZ49" s="2212" t="s">
        <v>6364</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6364</v>
      </c>
      <c r="Z50" s="2246">
        <v>50</v>
      </c>
      <c r="AZ50" s="2212" t="s">
        <v>6365</v>
      </c>
    </row>
    <row r="51" spans="1:52" s="291" customFormat="1" ht="15" customHeight="1">
      <c r="A51" s="315"/>
      <c r="B51" s="3539" t="s">
        <v>746</v>
      </c>
      <c r="C51" s="3540"/>
      <c r="D51" s="3581"/>
      <c r="E51" s="3541" t="s">
        <v>6912</v>
      </c>
      <c r="F51" s="3542"/>
      <c r="G51" s="3542"/>
      <c r="H51" s="3543"/>
      <c r="I51" s="3573">
        <v>8708645</v>
      </c>
      <c r="J51" s="3573"/>
      <c r="L51" s="3584">
        <f>'Part III-A-Uses of Funds'!$J$191*10*'Part III-A-Uses of Funds'!$N$182</f>
        <v>8797500</v>
      </c>
      <c r="M51" s="3584"/>
      <c r="N51" s="3585">
        <f>I51-L51</f>
        <v>-88855</v>
      </c>
      <c r="O51" s="3585"/>
      <c r="P51" s="425">
        <f>I51/I61</f>
        <v>0.66117703115994952</v>
      </c>
      <c r="Q51" s="392"/>
      <c r="S51" s="3502"/>
      <c r="T51" s="3503"/>
      <c r="Y51" s="2290" t="s">
        <v>6365</v>
      </c>
      <c r="Z51" s="2245">
        <v>51</v>
      </c>
      <c r="AZ51" s="2212" t="s">
        <v>6366</v>
      </c>
    </row>
    <row r="52" spans="1:52" s="291" customFormat="1" ht="15" customHeight="1">
      <c r="A52" s="315"/>
      <c r="B52" s="3539" t="s">
        <v>747</v>
      </c>
      <c r="C52" s="3540"/>
      <c r="D52" s="3581"/>
      <c r="E52" s="3541" t="s">
        <v>6912</v>
      </c>
      <c r="F52" s="3542"/>
      <c r="G52" s="3542"/>
      <c r="H52" s="3543"/>
      <c r="I52" s="3573">
        <v>3917475</v>
      </c>
      <c r="J52" s="3573"/>
      <c r="L52" s="3584">
        <f>'Part III-A-Uses of Funds'!$J$191*10*'Part III-A-Uses of Funds'!$Q$182</f>
        <v>3829500</v>
      </c>
      <c r="M52" s="3584"/>
      <c r="N52" s="3585">
        <f>I52-L52</f>
        <v>87975</v>
      </c>
      <c r="O52" s="3585"/>
      <c r="P52" s="425">
        <f>I52/I61</f>
        <v>0.29742221552759623</v>
      </c>
      <c r="Q52" s="392"/>
      <c r="S52" s="3502"/>
      <c r="T52" s="3503"/>
      <c r="Y52" s="2290" t="s">
        <v>6366</v>
      </c>
      <c r="Z52" s="2246">
        <v>52</v>
      </c>
      <c r="AZ52" s="2212" t="s">
        <v>6367</v>
      </c>
    </row>
    <row r="53" spans="1:52" s="291" customFormat="1" ht="15" customHeight="1">
      <c r="A53" s="315"/>
      <c r="B53" s="3539" t="s">
        <v>1332</v>
      </c>
      <c r="C53" s="3540"/>
      <c r="D53" s="3581"/>
      <c r="E53" s="3541"/>
      <c r="F53" s="3542"/>
      <c r="G53" s="3542"/>
      <c r="H53" s="3543"/>
      <c r="I53" s="3573"/>
      <c r="J53" s="3573"/>
      <c r="P53" s="426">
        <f>SUM(P51:P52)</f>
        <v>0.9585992466875457</v>
      </c>
      <c r="Q53" s="392"/>
      <c r="S53" s="3504"/>
      <c r="T53" s="3505"/>
      <c r="Y53" s="2290" t="s">
        <v>6367</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6368</v>
      </c>
    </row>
    <row r="57" spans="1:52" s="291" customFormat="1" ht="15" customHeight="1">
      <c r="A57" s="315"/>
      <c r="B57" s="1040" t="s">
        <v>690</v>
      </c>
      <c r="C57" s="3560" t="s">
        <v>7011</v>
      </c>
      <c r="D57" s="3560"/>
      <c r="E57" s="3541"/>
      <c r="F57" s="3542"/>
      <c r="G57" s="3542"/>
      <c r="H57" s="3543"/>
      <c r="I57" s="3573">
        <v>110</v>
      </c>
      <c r="J57" s="3573"/>
      <c r="M57" s="393"/>
      <c r="N57" s="393"/>
      <c r="O57" s="393"/>
      <c r="P57" s="393"/>
      <c r="Q57" s="392"/>
      <c r="S57" s="3502"/>
      <c r="T57" s="3503"/>
      <c r="Y57" s="2290" t="s">
        <v>6368</v>
      </c>
      <c r="Z57" s="2246">
        <v>57</v>
      </c>
      <c r="AZ57" s="2212" t="s">
        <v>6369</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6369</v>
      </c>
      <c r="Z58" s="2246">
        <v>58</v>
      </c>
      <c r="AZ58" s="2212" t="s">
        <v>6370</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6370</v>
      </c>
      <c r="Z59" s="2246">
        <v>59</v>
      </c>
      <c r="AZ59" s="2212"/>
    </row>
    <row r="60" spans="1:52" s="291" customFormat="1" ht="14.25" customHeight="1">
      <c r="A60" s="315"/>
      <c r="B60" s="1034" t="s">
        <v>2049</v>
      </c>
      <c r="C60" s="315"/>
      <c r="D60" s="315"/>
      <c r="E60" s="315"/>
      <c r="F60" s="315"/>
      <c r="G60" s="315"/>
      <c r="I60" s="3614">
        <f>SUM(I40:J45)+SUM(I49:J59)</f>
        <v>13171427</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13171427</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35" customHeight="1">
      <c r="A63" s="315" t="s">
        <v>3948</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20" priority="6" stopIfTrue="1" operator="equal">
      <formula>"Make a selection FIRST --&gt;"</formula>
    </cfRule>
  </conditionalFormatting>
  <conditionalFormatting sqref="D45">
    <cfRule type="cellIs" dxfId="119" priority="3" operator="greaterThan">
      <formula>50.000001%</formula>
    </cfRule>
  </conditionalFormatting>
  <dataValidations count="3">
    <dataValidation type="list" allowBlank="1" showInputMessage="1" showErrorMessage="1" sqref="N40:O44">
      <formula1>"Amortizing, DCA HOME IPS, Cash Flow, Adjusted Interest"</formula1>
    </dataValidation>
    <dataValidation type="list" allowBlank="1" showInputMessage="1" showErrorMessage="1" sqref="E11 E6:E7 E9 B6:B16 E13:E16 L6:L16">
      <formula1>"Yes, No"</formula1>
    </dataValidation>
    <dataValidation type="list" allowBlank="1" showInputMessage="1" showErrorMessage="1" sqref="N45:O45 P46:Q46 P48:Q48">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2276</v>
      </c>
      <c r="B51" s="3620"/>
      <c r="C51" s="3620"/>
      <c r="D51" s="3620"/>
      <c r="E51" s="3620"/>
      <c r="F51" s="3620"/>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BA246"/>
  <sheetViews>
    <sheetView showGridLines="0" topLeftCell="A95" zoomScaleNormal="100" workbookViewId="0">
      <selection activeCell="S146" sqref="J146:T146"/>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6339</v>
      </c>
      <c r="J1" s="2287" t="s">
        <v>6340</v>
      </c>
      <c r="M1" s="2287" t="s">
        <v>6341</v>
      </c>
      <c r="N1" s="2287" t="s">
        <v>6342</v>
      </c>
      <c r="P1" s="2287" t="s">
        <v>6343</v>
      </c>
      <c r="Q1" s="2287" t="s">
        <v>6344</v>
      </c>
      <c r="S1" s="2287" t="s">
        <v>6345</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Magnolia Villas, Tifton, Tift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Magnolia Villas, Tifton, Tift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12000</v>
      </c>
      <c r="H9" s="3534"/>
      <c r="J9" s="3533">
        <v>12000</v>
      </c>
      <c r="K9" s="3534"/>
      <c r="L9" s="1050"/>
      <c r="M9" s="3533"/>
      <c r="N9" s="3534"/>
      <c r="P9" s="3533"/>
      <c r="Q9" s="3534"/>
      <c r="S9" s="3533"/>
      <c r="T9" s="3534"/>
      <c r="V9" s="1082"/>
      <c r="W9" s="3649"/>
      <c r="X9" s="3650"/>
      <c r="AZ9" s="2661"/>
      <c r="BA9" s="2246">
        <v>9</v>
      </c>
    </row>
    <row r="10" spans="1:53" s="315" customFormat="1" ht="11.25" customHeight="1">
      <c r="B10" s="315" t="s">
        <v>431</v>
      </c>
      <c r="G10" s="3544">
        <v>10000</v>
      </c>
      <c r="H10" s="3545"/>
      <c r="J10" s="3544">
        <v>10000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12500</v>
      </c>
      <c r="H11" s="3545"/>
      <c r="J11" s="3544">
        <v>12500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12000</v>
      </c>
      <c r="H12" s="3545"/>
      <c r="J12" s="3544">
        <v>12000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15000</v>
      </c>
      <c r="H13" s="3545"/>
      <c r="J13" s="3544">
        <v>15000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6277</v>
      </c>
      <c r="C15" s="3685" t="s">
        <v>6726</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6371</v>
      </c>
      <c r="BA15" s="2246">
        <v>15</v>
      </c>
    </row>
    <row r="16" spans="1:53" s="315" customFormat="1" ht="11.25" customHeight="1">
      <c r="A16" s="396" t="str">
        <f>IF(AND(G16&gt;0,OR(C16="",C16="&lt;Enter detailed description here; use Comments section if needed&gt;")),"X","")</f>
        <v/>
      </c>
      <c r="B16" s="185" t="s">
        <v>6278</v>
      </c>
      <c r="C16" s="3685" t="s">
        <v>6726</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6372</v>
      </c>
      <c r="BA16" s="2246">
        <v>16</v>
      </c>
    </row>
    <row r="17" spans="1:53" s="315" customFormat="1" ht="11.25" customHeight="1" thickBot="1">
      <c r="A17" s="396" t="str">
        <f>IF(AND(G17&gt;0,OR(C17="",C17="&lt;Enter detailed description here; use Comments section if needed&gt;")),"X","")</f>
        <v/>
      </c>
      <c r="B17" s="185" t="s">
        <v>6279</v>
      </c>
      <c r="C17" s="3685" t="s">
        <v>6726</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6373</v>
      </c>
      <c r="BA17" s="2246">
        <v>17</v>
      </c>
    </row>
    <row r="18" spans="1:53" s="315" customFormat="1" ht="12.6" customHeight="1" thickTop="1">
      <c r="F18" s="371" t="s">
        <v>184</v>
      </c>
      <c r="G18" s="3645">
        <f>SUM(G9:G17)</f>
        <v>61500</v>
      </c>
      <c r="H18" s="3646"/>
      <c r="J18" s="3645">
        <f>SUM(J9:J17)</f>
        <v>61500</v>
      </c>
      <c r="K18" s="3646"/>
      <c r="L18" s="1050"/>
      <c r="M18" s="3645">
        <f>SUM(M9:M17)</f>
        <v>0</v>
      </c>
      <c r="N18" s="3646"/>
      <c r="P18" s="3645">
        <f>SUM(P9:P17)</f>
        <v>0</v>
      </c>
      <c r="Q18" s="3646"/>
      <c r="S18" s="3645">
        <f>SUM(S9:S17)</f>
        <v>0</v>
      </c>
      <c r="T18" s="3646"/>
      <c r="V18" s="1084">
        <f>SUM(V9:V17)</f>
        <v>0</v>
      </c>
      <c r="W18" s="3658"/>
      <c r="X18" s="3659"/>
      <c r="AZ18" s="2661" t="s">
        <v>6374</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62108.195960065008</v>
      </c>
      <c r="G20" s="3533">
        <v>535000</v>
      </c>
      <c r="H20" s="3534"/>
      <c r="J20" s="373"/>
      <c r="K20" s="370"/>
      <c r="L20" s="373"/>
      <c r="M20" s="373"/>
      <c r="N20" s="370"/>
      <c r="P20" s="373"/>
      <c r="Q20" s="370"/>
      <c r="S20" s="3533">
        <v>535000</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535000</v>
      </c>
      <c r="H24" s="3646"/>
      <c r="J24" s="373"/>
      <c r="K24" s="370"/>
      <c r="L24" s="373"/>
      <c r="M24" s="3645">
        <f>SUM(M22:M23)</f>
        <v>0</v>
      </c>
      <c r="N24" s="3646"/>
      <c r="P24" s="373"/>
      <c r="Q24" s="370"/>
      <c r="S24" s="3645">
        <f>SUM(S20:S23)</f>
        <v>535000</v>
      </c>
      <c r="T24" s="3646"/>
      <c r="V24" s="1084">
        <f>SUM(V20:V23)</f>
        <v>0</v>
      </c>
      <c r="W24" s="3658"/>
      <c r="X24" s="3659"/>
      <c r="AZ24" s="2661" t="s">
        <v>6375</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196052.93707917343</v>
      </c>
      <c r="G26" s="3533">
        <v>1688800</v>
      </c>
      <c r="H26" s="3534"/>
      <c r="J26" s="3533">
        <v>1604360</v>
      </c>
      <c r="K26" s="3534"/>
      <c r="L26" s="1050"/>
      <c r="M26" s="3687"/>
      <c r="N26" s="3688"/>
      <c r="P26" s="3687"/>
      <c r="Q26" s="3688"/>
      <c r="S26" s="3533">
        <v>84440</v>
      </c>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6" customHeight="1" thickTop="1">
      <c r="F28" s="371" t="s">
        <v>184</v>
      </c>
      <c r="G28" s="3645">
        <f>SUM(G26:G27)</f>
        <v>1688800</v>
      </c>
      <c r="H28" s="3646"/>
      <c r="J28" s="3645">
        <f>SUM(J26:J27)</f>
        <v>1604360</v>
      </c>
      <c r="K28" s="3646"/>
      <c r="L28" s="373"/>
      <c r="M28" s="3645">
        <f>M26</f>
        <v>0</v>
      </c>
      <c r="N28" s="3646"/>
      <c r="P28" s="3645">
        <f>P26</f>
        <v>0</v>
      </c>
      <c r="Q28" s="3646"/>
      <c r="S28" s="3645">
        <f>SUM(S26:S27)</f>
        <v>84440</v>
      </c>
      <c r="T28" s="3646"/>
      <c r="V28" s="1084">
        <f>SUM(V26:V27)</f>
        <v>0</v>
      </c>
      <c r="W28" s="3658"/>
      <c r="X28" s="3659"/>
      <c r="AZ28" s="2661" t="s">
        <v>6376</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6489300</v>
      </c>
      <c r="H30" s="3534"/>
      <c r="J30" s="3533">
        <v>6489300</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6091</v>
      </c>
      <c r="G32" s="3544"/>
      <c r="H32" s="3545"/>
      <c r="J32" s="3544"/>
      <c r="K32" s="3545"/>
      <c r="L32" s="1050"/>
      <c r="M32" s="3544"/>
      <c r="N32" s="3545"/>
      <c r="P32" s="3544"/>
      <c r="Q32" s="3545"/>
      <c r="S32" s="3544"/>
      <c r="T32" s="3545"/>
      <c r="V32" s="1082"/>
      <c r="W32" s="3649"/>
      <c r="X32" s="3650"/>
      <c r="AZ32" s="2661"/>
      <c r="BA32" s="2246">
        <v>32</v>
      </c>
    </row>
    <row r="33" spans="1:53" s="315" customFormat="1" ht="11.25" customHeight="1">
      <c r="B33" s="315" t="s">
        <v>6089</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6090</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6489300</v>
      </c>
      <c r="H36" s="3646"/>
      <c r="J36" s="3645">
        <f>SUM(J30:J35)</f>
        <v>6489300</v>
      </c>
      <c r="K36" s="3646"/>
      <c r="L36" s="1050"/>
      <c r="M36" s="3645">
        <f>SUM(M30:M35)</f>
        <v>0</v>
      </c>
      <c r="N36" s="3646"/>
      <c r="P36" s="3645">
        <f>SUM(P30:P35)</f>
        <v>0</v>
      </c>
      <c r="Q36" s="3646"/>
      <c r="S36" s="3645">
        <f>SUM(S30:S35)</f>
        <v>0</v>
      </c>
      <c r="T36" s="3646"/>
      <c r="V36" s="1084">
        <f>SUM(V30:V35)</f>
        <v>0</v>
      </c>
      <c r="W36" s="3658"/>
      <c r="X36" s="3659"/>
      <c r="AZ36" s="2661" t="s">
        <v>6377</v>
      </c>
      <c r="BA36" s="2246">
        <v>36</v>
      </c>
    </row>
    <row r="37" spans="1:53" s="315" customFormat="1" ht="12" customHeight="1">
      <c r="B37" s="317" t="s">
        <v>2164</v>
      </c>
      <c r="D37" s="3692" t="s">
        <v>3227</v>
      </c>
      <c r="E37" s="3692"/>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490686</v>
      </c>
      <c r="F38" s="2633">
        <f>IF(($G$28+$G$36)=0,0,G38/($G$28+$G$36))</f>
        <v>0.06</v>
      </c>
      <c r="G38" s="3533">
        <v>490686</v>
      </c>
      <c r="H38" s="3534"/>
      <c r="I38" s="332"/>
      <c r="J38" s="3533">
        <v>490686</v>
      </c>
      <c r="K38" s="3534"/>
      <c r="L38" s="1050"/>
      <c r="M38" s="3533"/>
      <c r="N38" s="3534"/>
      <c r="P38" s="3533"/>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163562</v>
      </c>
      <c r="F39" s="2633">
        <f>IF(($G$28+$G$36)=0,0,G39/($G$28+$G$36))</f>
        <v>0.02</v>
      </c>
      <c r="G39" s="3544">
        <v>163562</v>
      </c>
      <c r="H39" s="3545"/>
      <c r="I39" s="332"/>
      <c r="J39" s="3544">
        <v>163562</v>
      </c>
      <c r="K39" s="3545"/>
      <c r="L39" s="1050"/>
      <c r="M39" s="3544"/>
      <c r="N39" s="3545"/>
      <c r="P39" s="3544"/>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490686</v>
      </c>
      <c r="F40" s="2637">
        <f>IF(($G$28+$G$36)=0,0,G40/($G$28+$G$36))</f>
        <v>0.06</v>
      </c>
      <c r="G40" s="3647">
        <v>490686</v>
      </c>
      <c r="H40" s="3648"/>
      <c r="I40" s="332"/>
      <c r="J40" s="3647">
        <v>490686</v>
      </c>
      <c r="K40" s="3648"/>
      <c r="L40" s="1050"/>
      <c r="M40" s="3647"/>
      <c r="N40" s="3648"/>
      <c r="P40" s="3647"/>
      <c r="Q40" s="3648"/>
      <c r="S40" s="3647"/>
      <c r="T40" s="3648"/>
      <c r="V40" s="1082"/>
      <c r="W40" s="3656"/>
      <c r="X40" s="3657"/>
      <c r="AZ40" s="2661"/>
      <c r="BA40" s="2246">
        <v>40</v>
      </c>
    </row>
    <row r="41" spans="1:53" s="315" customFormat="1" ht="12.6" customHeight="1" thickTop="1">
      <c r="B41" s="185" t="s">
        <v>3228</v>
      </c>
      <c r="D41" s="965">
        <f>SUM(D38:D40)</f>
        <v>0.14000000000000001</v>
      </c>
      <c r="E41" s="966">
        <f>SUM(E38:E40)</f>
        <v>1144934</v>
      </c>
      <c r="F41" s="2630" t="s">
        <v>184</v>
      </c>
      <c r="G41" s="3645">
        <f>SUM(G38:G40)</f>
        <v>1144934</v>
      </c>
      <c r="H41" s="3646"/>
      <c r="J41" s="3645">
        <f>SUM(J38:J40)</f>
        <v>1144934</v>
      </c>
      <c r="K41" s="3646"/>
      <c r="L41" s="373"/>
      <c r="M41" s="3645">
        <f>SUM(M38:M40)</f>
        <v>0</v>
      </c>
      <c r="N41" s="3646"/>
      <c r="P41" s="3645">
        <f>SUM(P38:P40)</f>
        <v>0</v>
      </c>
      <c r="Q41" s="3646"/>
      <c r="S41" s="3645">
        <f>SUM(S38:S40)</f>
        <v>0</v>
      </c>
      <c r="T41" s="3646"/>
      <c r="V41" s="1084">
        <f>SUM(V38:V40)</f>
        <v>0</v>
      </c>
      <c r="W41" s="3658"/>
      <c r="X41" s="3659"/>
      <c r="AZ41" s="2661" t="s">
        <v>6378</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12">
        <f>G28+G36+G41</f>
        <v>9323034</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6379</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6280</v>
      </c>
      <c r="C46" s="3685" t="s">
        <v>6726</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6380</v>
      </c>
      <c r="BA47" s="2245">
        <v>47</v>
      </c>
    </row>
    <row r="48" spans="1:53" s="315" customFormat="1" ht="12.6" customHeight="1">
      <c r="B48" s="2201" t="s">
        <v>2481</v>
      </c>
      <c r="C48" s="2202"/>
      <c r="E48" s="3704" t="s">
        <v>2480</v>
      </c>
      <c r="F48" s="2203">
        <f>C49/'Part V-Revenues &amp; Expenses'!$P$65</f>
        <v>202674.65217391305</v>
      </c>
      <c r="G48" s="2204" t="s">
        <v>2494</v>
      </c>
      <c r="H48" s="2205"/>
      <c r="I48" s="2205"/>
      <c r="J48" s="3706">
        <f>C49/'Part V-Revenues &amp; Expenses'!$P$67</f>
        <v>202674.65217391305</v>
      </c>
      <c r="K48" s="3706"/>
      <c r="L48" s="2205"/>
      <c r="M48" s="3707" t="s">
        <v>6480</v>
      </c>
      <c r="N48" s="3707"/>
      <c r="O48" s="2205"/>
      <c r="P48" s="3706">
        <f>C49/'Part V-Revenues &amp; Expenses'!$K$175</f>
        <v>194.27844461115279</v>
      </c>
      <c r="Q48" s="3706"/>
      <c r="R48" s="2205"/>
      <c r="S48" s="3708" t="s">
        <v>6482</v>
      </c>
      <c r="T48" s="3709"/>
      <c r="V48" s="1085"/>
      <c r="W48" s="3700"/>
      <c r="X48" s="3701"/>
      <c r="AZ48" s="2661"/>
      <c r="BA48" s="2246">
        <v>48</v>
      </c>
    </row>
    <row r="49" spans="1:53" s="315" customFormat="1" ht="12.6" customHeight="1">
      <c r="B49" s="2254" t="s">
        <v>6493</v>
      </c>
      <c r="C49" s="2253">
        <f>G28+G36+G41+G46</f>
        <v>9323034</v>
      </c>
      <c r="E49" s="3705"/>
      <c r="F49" s="2206">
        <f>C49/'Part V-Revenues &amp; Expenses'!$P$166</f>
        <v>208.79320075248589</v>
      </c>
      <c r="G49" s="2207" t="s">
        <v>2495</v>
      </c>
      <c r="H49" s="2208"/>
      <c r="I49" s="2208"/>
      <c r="J49" s="3694">
        <f>C49/'Part V-Revenues &amp; Expenses'!$P$168</f>
        <v>208.79320075248589</v>
      </c>
      <c r="K49" s="3694"/>
      <c r="L49" s="2208"/>
      <c r="M49" s="3695" t="s">
        <v>6481</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6302</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466151.7</v>
      </c>
      <c r="F55" s="2310">
        <f>G55/C49</f>
        <v>4.9999924917146069E-2</v>
      </c>
      <c r="G55" s="3696">
        <v>466151</v>
      </c>
      <c r="H55" s="3697"/>
      <c r="I55" s="315"/>
      <c r="J55" s="3696">
        <v>466151</v>
      </c>
      <c r="K55" s="3697"/>
      <c r="L55" s="1050"/>
      <c r="M55" s="3696"/>
      <c r="N55" s="3697"/>
      <c r="O55" s="315"/>
      <c r="P55" s="3696"/>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6303</v>
      </c>
      <c r="C57" s="2202"/>
      <c r="E57" s="3789" t="s">
        <v>6304</v>
      </c>
      <c r="F57" s="2203">
        <f>B58/'Part V-Revenues &amp; Expenses'!$P$65</f>
        <v>212808.36956521738</v>
      </c>
      <c r="G57" s="2204" t="s">
        <v>2494</v>
      </c>
      <c r="H57" s="2205"/>
      <c r="I57" s="2205"/>
      <c r="J57" s="3706">
        <f>B58/'Part V-Revenues &amp; Expenses'!$P$67</f>
        <v>212808.36956521738</v>
      </c>
      <c r="K57" s="3706"/>
      <c r="L57" s="2205"/>
      <c r="M57" s="3707" t="s">
        <v>6480</v>
      </c>
      <c r="N57" s="3707"/>
      <c r="O57" s="2205"/>
      <c r="P57" s="3706">
        <f>B58/'Part V-Revenues &amp; Expenses'!$K$175</f>
        <v>203.99235225473035</v>
      </c>
      <c r="Q57" s="3706"/>
      <c r="R57" s="2205"/>
      <c r="S57" s="3708" t="s">
        <v>6482</v>
      </c>
      <c r="T57" s="3709"/>
      <c r="V57" s="1085"/>
      <c r="W57" s="3700"/>
      <c r="X57" s="3701"/>
      <c r="AZ57" s="2661"/>
      <c r="BA57" s="2246">
        <v>54</v>
      </c>
    </row>
    <row r="58" spans="1:53" s="315" customFormat="1" ht="12.6" customHeight="1">
      <c r="B58" s="3787">
        <f>C49+G55</f>
        <v>9789185</v>
      </c>
      <c r="C58" s="3788"/>
      <c r="E58" s="3790"/>
      <c r="F58" s="2206">
        <f>B58/'Part V-Revenues &amp; Expenses'!$P$166</f>
        <v>219.23284511332079</v>
      </c>
      <c r="G58" s="2207" t="s">
        <v>2495</v>
      </c>
      <c r="H58" s="2208"/>
      <c r="I58" s="2208"/>
      <c r="J58" s="3694">
        <f>B58/'Part V-Revenues &amp; Expenses'!$P$168</f>
        <v>219.23284511332079</v>
      </c>
      <c r="K58" s="3694"/>
      <c r="L58" s="2208"/>
      <c r="M58" s="3695" t="s">
        <v>6481</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93964</v>
      </c>
      <c r="H63" s="3545"/>
      <c r="J63" s="3544">
        <v>93964</v>
      </c>
      <c r="K63" s="3545"/>
      <c r="L63" s="1050"/>
      <c r="M63" s="3544"/>
      <c r="N63" s="3545"/>
      <c r="P63" s="3544"/>
      <c r="Q63" s="3545"/>
      <c r="S63" s="3544"/>
      <c r="T63" s="3545"/>
      <c r="V63" s="1086"/>
      <c r="W63" s="3649"/>
      <c r="X63" s="3650"/>
      <c r="AZ63" s="2661"/>
      <c r="BA63" s="2245">
        <v>63</v>
      </c>
    </row>
    <row r="64" spans="1:53" s="315" customFormat="1" ht="12" customHeight="1">
      <c r="B64" s="315" t="s">
        <v>2168</v>
      </c>
      <c r="G64" s="3544">
        <v>333683</v>
      </c>
      <c r="H64" s="3545"/>
      <c r="J64" s="3544">
        <v>314192</v>
      </c>
      <c r="K64" s="3545"/>
      <c r="L64" s="1050"/>
      <c r="M64" s="3544"/>
      <c r="N64" s="3545"/>
      <c r="P64" s="3544"/>
      <c r="Q64" s="3545"/>
      <c r="S64" s="3544">
        <v>19491</v>
      </c>
      <c r="T64" s="3545"/>
      <c r="V64" s="1086"/>
      <c r="W64" s="3649"/>
      <c r="X64" s="3650"/>
      <c r="AZ64" s="2661"/>
      <c r="BA64" s="2246">
        <v>64</v>
      </c>
    </row>
    <row r="65" spans="1:53" s="315" customFormat="1" ht="12" customHeight="1">
      <c r="B65" s="315" t="s">
        <v>2169</v>
      </c>
      <c r="G65" s="3544">
        <v>40000</v>
      </c>
      <c r="H65" s="3545"/>
      <c r="J65" s="3544">
        <v>40000</v>
      </c>
      <c r="K65" s="3545"/>
      <c r="L65" s="1050"/>
      <c r="M65" s="3544"/>
      <c r="N65" s="3545"/>
      <c r="P65" s="3544"/>
      <c r="Q65" s="3545"/>
      <c r="S65" s="3544"/>
      <c r="T65" s="3545"/>
      <c r="V65" s="1086"/>
      <c r="W65" s="3649"/>
      <c r="X65" s="3650"/>
      <c r="AZ65" s="2661" t="s">
        <v>6381</v>
      </c>
      <c r="BA65" s="2246">
        <v>65</v>
      </c>
    </row>
    <row r="66" spans="1:53" s="315" customFormat="1" ht="12" customHeight="1">
      <c r="B66" s="315" t="s">
        <v>2451</v>
      </c>
      <c r="G66" s="3544">
        <v>10000</v>
      </c>
      <c r="H66" s="3545"/>
      <c r="J66" s="3544">
        <v>10000</v>
      </c>
      <c r="K66" s="3545"/>
      <c r="L66" s="1050"/>
      <c r="M66" s="3544"/>
      <c r="N66" s="3545"/>
      <c r="P66" s="3544"/>
      <c r="Q66" s="3545"/>
      <c r="S66" s="3544"/>
      <c r="T66" s="3545"/>
      <c r="V66" s="1086"/>
      <c r="W66" s="3649"/>
      <c r="X66" s="3650"/>
      <c r="AZ66" s="2661" t="s">
        <v>6382</v>
      </c>
      <c r="BA66" s="2246">
        <v>66</v>
      </c>
    </row>
    <row r="67" spans="1:53" s="315" customFormat="1" ht="12" customHeight="1">
      <c r="B67" s="315" t="s">
        <v>676</v>
      </c>
      <c r="G67" s="3544">
        <v>11500</v>
      </c>
      <c r="H67" s="3545"/>
      <c r="J67" s="3544">
        <v>11500</v>
      </c>
      <c r="K67" s="3545"/>
      <c r="L67" s="1050"/>
      <c r="M67" s="3544"/>
      <c r="N67" s="3545"/>
      <c r="P67" s="3544"/>
      <c r="Q67" s="3545"/>
      <c r="S67" s="3544"/>
      <c r="T67" s="3545"/>
      <c r="V67" s="1086"/>
      <c r="W67" s="3649"/>
      <c r="X67" s="3650"/>
      <c r="AZ67" s="2661" t="s">
        <v>6383</v>
      </c>
      <c r="BA67" s="2246">
        <v>67</v>
      </c>
    </row>
    <row r="68" spans="1:53" s="315" customFormat="1" ht="12" customHeight="1">
      <c r="B68" s="315" t="s">
        <v>2170</v>
      </c>
      <c r="G68" s="3544">
        <v>20000</v>
      </c>
      <c r="H68" s="3545"/>
      <c r="J68" s="3544">
        <v>20000</v>
      </c>
      <c r="K68" s="3545"/>
      <c r="L68" s="1050"/>
      <c r="M68" s="3544"/>
      <c r="N68" s="3545"/>
      <c r="P68" s="3544"/>
      <c r="Q68" s="3545"/>
      <c r="S68" s="3544"/>
      <c r="T68" s="3545"/>
      <c r="V68" s="1086"/>
      <c r="W68" s="3649"/>
      <c r="X68" s="3650"/>
      <c r="AZ68" s="2661"/>
      <c r="BA68" s="2246">
        <v>68</v>
      </c>
    </row>
    <row r="69" spans="1:53" s="315" customFormat="1" ht="12" customHeight="1">
      <c r="B69" s="315" t="s">
        <v>1201</v>
      </c>
      <c r="G69" s="3544">
        <v>30000</v>
      </c>
      <c r="H69" s="3545"/>
      <c r="J69" s="3544">
        <v>30000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6282</v>
      </c>
      <c r="C71" s="3716" t="s">
        <v>6726</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6283</v>
      </c>
      <c r="C72" s="3714" t="s">
        <v>6726</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539147</v>
      </c>
      <c r="H73" s="3646"/>
      <c r="J73" s="3645">
        <f>SUM(J61:J72)</f>
        <v>519656</v>
      </c>
      <c r="K73" s="3646"/>
      <c r="L73" s="373"/>
      <c r="M73" s="3645">
        <f>SUM(M61:M72)</f>
        <v>0</v>
      </c>
      <c r="N73" s="3646"/>
      <c r="P73" s="3645">
        <f>SUM(P61:P72)</f>
        <v>0</v>
      </c>
      <c r="Q73" s="3646"/>
      <c r="S73" s="3645">
        <f>SUM(S61:S72)</f>
        <v>19491</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126500</v>
      </c>
      <c r="H75" s="3534"/>
      <c r="J75" s="3533">
        <v>126500</v>
      </c>
      <c r="K75" s="3534"/>
      <c r="L75" s="1050"/>
      <c r="M75" s="3533"/>
      <c r="N75" s="3534"/>
      <c r="P75" s="3533"/>
      <c r="Q75" s="3534"/>
      <c r="S75" s="3533"/>
      <c r="T75" s="3534"/>
      <c r="V75" s="1082"/>
      <c r="W75" s="3649"/>
      <c r="X75" s="3650"/>
      <c r="AZ75" s="2661"/>
      <c r="BA75" s="2245">
        <v>75</v>
      </c>
    </row>
    <row r="76" spans="1:53" s="315" customFormat="1" ht="12" customHeight="1">
      <c r="B76" s="315" t="s">
        <v>451</v>
      </c>
      <c r="G76" s="3544">
        <v>34500</v>
      </c>
      <c r="H76" s="3545"/>
      <c r="J76" s="3544">
        <v>34500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10000</v>
      </c>
      <c r="H78" s="3545"/>
      <c r="J78" s="3544">
        <v>10000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18000</v>
      </c>
      <c r="H79" s="3545"/>
      <c r="J79" s="3544">
        <v>18000</v>
      </c>
      <c r="K79" s="3545"/>
      <c r="L79" s="1050"/>
      <c r="M79" s="3544"/>
      <c r="N79" s="3545"/>
      <c r="P79" s="3544"/>
      <c r="Q79" s="3545"/>
      <c r="S79" s="3544"/>
      <c r="T79" s="3545"/>
      <c r="V79" s="1082"/>
      <c r="W79" s="3649"/>
      <c r="X79" s="3650"/>
      <c r="AZ79" s="2661" t="s">
        <v>6384</v>
      </c>
      <c r="BA79" s="2246">
        <v>79</v>
      </c>
    </row>
    <row r="80" spans="1:53" s="315" customFormat="1" ht="12" customHeight="1">
      <c r="B80" s="315" t="s">
        <v>1065</v>
      </c>
      <c r="G80" s="3544">
        <v>40000</v>
      </c>
      <c r="H80" s="3545"/>
      <c r="J80" s="3544">
        <v>40000</v>
      </c>
      <c r="K80" s="3545"/>
      <c r="L80" s="1050"/>
      <c r="M80" s="3544"/>
      <c r="N80" s="3545"/>
      <c r="P80" s="3544"/>
      <c r="Q80" s="3545"/>
      <c r="S80" s="3544"/>
      <c r="T80" s="3545"/>
      <c r="V80" s="1082"/>
      <c r="W80" s="3649"/>
      <c r="X80" s="3650"/>
      <c r="AZ80" s="2661" t="s">
        <v>6385</v>
      </c>
      <c r="BA80" s="2246">
        <v>80</v>
      </c>
    </row>
    <row r="81" spans="1:53" s="315" customFormat="1" ht="12" customHeight="1">
      <c r="B81" s="315" t="s">
        <v>452</v>
      </c>
      <c r="G81" s="3544">
        <v>95000</v>
      </c>
      <c r="H81" s="3545"/>
      <c r="J81" s="3544">
        <v>95000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45000</v>
      </c>
      <c r="H82" s="3545"/>
      <c r="J82" s="3544">
        <v>45000</v>
      </c>
      <c r="K82" s="3545"/>
      <c r="L82" s="1050"/>
      <c r="M82" s="3544"/>
      <c r="N82" s="3545"/>
      <c r="P82" s="3544"/>
      <c r="Q82" s="3545"/>
      <c r="S82" s="3544"/>
      <c r="T82" s="3545"/>
      <c r="V82" s="1082"/>
      <c r="W82" s="3649"/>
      <c r="X82" s="3650"/>
      <c r="AZ82" s="2661"/>
      <c r="BA82" s="2246">
        <v>82</v>
      </c>
    </row>
    <row r="83" spans="1:53" s="315" customFormat="1" ht="12" customHeight="1">
      <c r="B83" s="315" t="s">
        <v>1900</v>
      </c>
      <c r="G83" s="3544">
        <v>25000</v>
      </c>
      <c r="H83" s="3545"/>
      <c r="J83" s="3544">
        <v>25000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10000</v>
      </c>
      <c r="H84" s="3545"/>
      <c r="J84" s="3544">
        <v>10000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6284</v>
      </c>
      <c r="C85" s="3685" t="s">
        <v>6726</v>
      </c>
      <c r="D85" s="3685"/>
      <c r="E85" s="3685"/>
      <c r="F85" s="3686"/>
      <c r="G85" s="3492"/>
      <c r="H85" s="3493"/>
      <c r="J85" s="3492"/>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424000</v>
      </c>
      <c r="H86" s="3646"/>
      <c r="J86" s="3645">
        <f>SUM(J75:J85)</f>
        <v>424000</v>
      </c>
      <c r="K86" s="3646"/>
      <c r="L86" s="373"/>
      <c r="M86" s="3645">
        <f>SUM(M75:M85)</f>
        <v>0</v>
      </c>
      <c r="N86" s="3646"/>
      <c r="P86" s="3645">
        <f>SUM(P75:P85)</f>
        <v>0</v>
      </c>
      <c r="Q86" s="3646"/>
      <c r="S86" s="3645">
        <f>SUM(S75:S85)</f>
        <v>0</v>
      </c>
      <c r="T86" s="3646"/>
      <c r="V86" s="1084">
        <f>SUM(V75:V85)</f>
        <v>0</v>
      </c>
      <c r="W86" s="3658"/>
      <c r="X86" s="3659"/>
      <c r="AZ86" s="2661" t="s">
        <v>6386</v>
      </c>
      <c r="BA86" s="2246">
        <v>86</v>
      </c>
    </row>
    <row r="87" spans="1:53" ht="12" customHeight="1">
      <c r="A87" s="315"/>
      <c r="B87" s="317" t="s">
        <v>1194</v>
      </c>
      <c r="C87" s="315"/>
      <c r="D87" s="884" t="s">
        <v>3231</v>
      </c>
      <c r="E87" s="968">
        <f>G92/'Part V-Revenues &amp; Expenses'!$P$67</f>
        <v>2740.695652173913</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94160</v>
      </c>
      <c r="H88" s="3534"/>
      <c r="J88" s="3533">
        <v>94160</v>
      </c>
      <c r="K88" s="3534"/>
      <c r="L88" s="1050"/>
      <c r="M88" s="3533"/>
      <c r="N88" s="3534"/>
      <c r="P88" s="3533"/>
      <c r="Q88" s="3534"/>
      <c r="S88" s="3533"/>
      <c r="T88" s="3534"/>
      <c r="V88" s="1082"/>
      <c r="W88" s="3649"/>
      <c r="X88" s="3650"/>
      <c r="AZ88" s="2661"/>
      <c r="BA88" s="2246">
        <v>88</v>
      </c>
    </row>
    <row r="89" spans="1:53" s="315" customFormat="1" ht="12" customHeight="1">
      <c r="B89" s="315" t="s">
        <v>1196</v>
      </c>
      <c r="G89" s="3544">
        <v>0</v>
      </c>
      <c r="H89" s="3545"/>
      <c r="J89" s="3544">
        <v>0</v>
      </c>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v>30480</v>
      </c>
      <c r="H90" s="3545"/>
      <c r="I90" s="332"/>
      <c r="J90" s="3544">
        <v>30480</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2654</v>
      </c>
      <c r="G91" s="3492">
        <v>1432</v>
      </c>
      <c r="H91" s="3493"/>
      <c r="I91" s="332"/>
      <c r="J91" s="3492">
        <v>1432</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126072</v>
      </c>
      <c r="H92" s="3646"/>
      <c r="J92" s="3645">
        <f>SUM(J88:J91)</f>
        <v>126072</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6387</v>
      </c>
      <c r="BA96" s="2246">
        <v>96</v>
      </c>
    </row>
    <row r="97" spans="1:53" s="315" customFormat="1" ht="12" customHeight="1">
      <c r="B97" s="315" t="s">
        <v>1199</v>
      </c>
      <c r="G97" s="3533">
        <v>5250</v>
      </c>
      <c r="H97" s="3534"/>
      <c r="J97" s="3718"/>
      <c r="K97" s="3718"/>
      <c r="L97" s="1050"/>
      <c r="M97" s="3718"/>
      <c r="N97" s="3718"/>
      <c r="P97" s="3718"/>
      <c r="Q97" s="3718"/>
      <c r="S97" s="3533">
        <v>5250</v>
      </c>
      <c r="T97" s="3534"/>
      <c r="V97" s="1082"/>
      <c r="W97" s="3649"/>
      <c r="X97" s="3650"/>
      <c r="AZ97" s="2661" t="s">
        <v>6388</v>
      </c>
      <c r="BA97" s="2246">
        <v>97</v>
      </c>
    </row>
    <row r="98" spans="1:53" s="315" customFormat="1" ht="12" customHeight="1">
      <c r="B98" s="315" t="s">
        <v>1200</v>
      </c>
      <c r="G98" s="3544">
        <v>15000</v>
      </c>
      <c r="H98" s="3545"/>
      <c r="J98" s="3718"/>
      <c r="K98" s="3718"/>
      <c r="L98" s="1050"/>
      <c r="M98" s="3718"/>
      <c r="N98" s="3718"/>
      <c r="P98" s="3718"/>
      <c r="Q98" s="3718"/>
      <c r="S98" s="3544">
        <v>15000</v>
      </c>
      <c r="T98" s="3545"/>
      <c r="V98" s="1082"/>
      <c r="W98" s="3649"/>
      <c r="X98" s="3650"/>
      <c r="AZ98" s="2661"/>
      <c r="BA98" s="2246">
        <v>98</v>
      </c>
    </row>
    <row r="99" spans="1:53" s="315" customFormat="1" ht="12" customHeight="1">
      <c r="B99" s="315" t="s">
        <v>1201</v>
      </c>
      <c r="G99" s="3544">
        <v>5000</v>
      </c>
      <c r="H99" s="3545"/>
      <c r="J99" s="3718"/>
      <c r="K99" s="3718"/>
      <c r="L99" s="1050"/>
      <c r="M99" s="3718"/>
      <c r="N99" s="3718"/>
      <c r="P99" s="3718"/>
      <c r="Q99" s="3718"/>
      <c r="S99" s="3544">
        <v>5000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6285</v>
      </c>
      <c r="C102" s="3685" t="s">
        <v>6726</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25250</v>
      </c>
      <c r="H103" s="3646"/>
      <c r="J103" s="3718"/>
      <c r="K103" s="3718"/>
      <c r="L103" s="373"/>
      <c r="M103" s="3718"/>
      <c r="N103" s="3718"/>
      <c r="P103" s="3718"/>
      <c r="Q103" s="3718"/>
      <c r="S103" s="3645">
        <f>SUM(S97:S102)</f>
        <v>25250</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3929</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6710</v>
      </c>
      <c r="AA105" s="414" t="s">
        <v>6653</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5500</v>
      </c>
      <c r="H106" s="3545"/>
      <c r="J106" s="373"/>
      <c r="K106" s="373"/>
      <c r="L106" s="380"/>
      <c r="M106" s="373"/>
      <c r="N106" s="373"/>
      <c r="P106" s="373"/>
      <c r="Q106" s="373"/>
      <c r="S106" s="3544">
        <v>5500</v>
      </c>
      <c r="T106" s="3545"/>
      <c r="V106" s="1082"/>
      <c r="W106" s="3649"/>
      <c r="X106" s="3650"/>
      <c r="Y106" s="3636"/>
      <c r="AA106" s="2606" t="s">
        <v>3154</v>
      </c>
      <c r="AB106" s="2606"/>
      <c r="AC106" s="2606"/>
      <c r="AD106" s="2607">
        <f>'Part V-Revenues &amp; Expenses'!$P$67</f>
        <v>46</v>
      </c>
      <c r="AZ106" s="2661" t="s">
        <v>6389</v>
      </c>
      <c r="BA106" s="2246">
        <v>106</v>
      </c>
    </row>
    <row r="107" spans="1:53" s="315" customFormat="1" ht="12.6" customHeight="1">
      <c r="B107" s="315" t="s">
        <v>3320</v>
      </c>
      <c r="G107" s="3544">
        <v>1000</v>
      </c>
      <c r="H107" s="3545"/>
      <c r="J107" s="373"/>
      <c r="K107" s="373"/>
      <c r="L107" s="380"/>
      <c r="M107" s="373"/>
      <c r="N107" s="373"/>
      <c r="O107" s="1041"/>
      <c r="P107" s="373"/>
      <c r="Q107" s="373"/>
      <c r="S107" s="3544">
        <v>1000</v>
      </c>
      <c r="T107" s="3545"/>
      <c r="V107" s="1082"/>
      <c r="W107" s="3649"/>
      <c r="X107" s="3650"/>
      <c r="Y107" s="3636"/>
      <c r="Z107" s="2603"/>
      <c r="AA107" s="2608" t="s">
        <v>6715</v>
      </c>
      <c r="AB107" s="185"/>
      <c r="AC107" s="185"/>
      <c r="AD107" s="185"/>
      <c r="AF107" s="2613" t="s">
        <v>6716</v>
      </c>
      <c r="AZ107" s="2661" t="s">
        <v>6390</v>
      </c>
      <c r="BA107" s="2246">
        <v>107</v>
      </c>
    </row>
    <row r="108" spans="1:53" s="315" customFormat="1" ht="12.6" customHeight="1">
      <c r="B108" s="315" t="s">
        <v>486</v>
      </c>
      <c r="E108" s="3719">
        <f>ROUNDUP('DCA Underwriting Assumptions'!$Q$53*J191,0)</f>
        <v>82800</v>
      </c>
      <c r="F108" s="3720"/>
      <c r="G108" s="3544">
        <v>82800</v>
      </c>
      <c r="H108" s="3545"/>
      <c r="J108" s="969" t="str">
        <f>IF(E108&gt;G108,"WARNING!  LIHTC Allocation Fee proposed is below minimum required.","")</f>
        <v/>
      </c>
      <c r="K108" s="373"/>
      <c r="L108" s="1050"/>
      <c r="M108" s="373"/>
      <c r="N108" s="373"/>
      <c r="O108" s="1041"/>
      <c r="P108" s="373"/>
      <c r="Q108" s="373"/>
      <c r="S108" s="3544">
        <v>82800</v>
      </c>
      <c r="T108" s="3545"/>
      <c r="V108" s="1082"/>
      <c r="W108" s="3649"/>
      <c r="X108" s="3650"/>
      <c r="Y108" s="3636"/>
      <c r="Z108" s="2603"/>
      <c r="AA108" s="185" t="s">
        <v>6711</v>
      </c>
      <c r="AB108" s="185"/>
      <c r="AC108" s="185"/>
      <c r="AD108" s="2609">
        <f>'Part V-Revenues &amp; Expenses'!P136+'Part V-Revenues &amp; Expenses'!P137</f>
        <v>0</v>
      </c>
      <c r="AF108" s="2611">
        <f>AD108*'DCA Underwriting Assumptions'!$Q$60</f>
        <v>0</v>
      </c>
      <c r="AZ108" s="2661" t="s">
        <v>6391</v>
      </c>
      <c r="BA108" s="2246">
        <v>108</v>
      </c>
    </row>
    <row r="109" spans="1:53" s="315" customFormat="1" ht="12.6" customHeight="1">
      <c r="B109" s="315" t="s">
        <v>702</v>
      </c>
      <c r="E109" s="3719">
        <f>AF111+AF115</f>
        <v>46000</v>
      </c>
      <c r="F109" s="3720"/>
      <c r="G109" s="3544">
        <v>46000</v>
      </c>
      <c r="H109" s="3545"/>
      <c r="I109" s="3653" t="str">
        <f>IF(E109&gt;G109,"WARNING!  LIHTC Compliance Fee proposed is below minimum required.","")</f>
        <v/>
      </c>
      <c r="J109" s="3654"/>
      <c r="K109" s="3654"/>
      <c r="L109" s="3654"/>
      <c r="M109" s="3654"/>
      <c r="N109" s="3654"/>
      <c r="O109" s="3654"/>
      <c r="P109" s="3654"/>
      <c r="Q109" s="3654"/>
      <c r="R109" s="3655"/>
      <c r="S109" s="3544">
        <v>46000</v>
      </c>
      <c r="T109" s="3545"/>
      <c r="V109" s="1082"/>
      <c r="W109" s="3649"/>
      <c r="X109" s="3650"/>
      <c r="Y109" s="3636"/>
      <c r="Z109" s="2603"/>
      <c r="AA109" s="185" t="s">
        <v>6293</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3451</v>
      </c>
      <c r="F110" s="1237"/>
      <c r="G110" s="3544">
        <v>3000</v>
      </c>
      <c r="H110" s="3545"/>
      <c r="I110" s="3653"/>
      <c r="J110" s="3654"/>
      <c r="K110" s="3654"/>
      <c r="L110" s="3654"/>
      <c r="M110" s="3654"/>
      <c r="N110" s="3654"/>
      <c r="O110" s="3654"/>
      <c r="P110" s="3654"/>
      <c r="Q110" s="3654"/>
      <c r="R110" s="3655"/>
      <c r="S110" s="3544">
        <v>3000</v>
      </c>
      <c r="T110" s="3545"/>
      <c r="V110" s="1082"/>
      <c r="W110" s="3649"/>
      <c r="X110" s="3650"/>
      <c r="Y110" s="363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3452</v>
      </c>
      <c r="F111" s="1237">
        <f>ROUNDUP('DCA Underwriting Assumptions'!$Q$88,0)</f>
        <v>3000</v>
      </c>
      <c r="G111" s="3544">
        <v>3000</v>
      </c>
      <c r="H111" s="3545"/>
      <c r="J111" s="181"/>
      <c r="K111" s="181"/>
      <c r="L111" s="181"/>
      <c r="M111" s="181"/>
      <c r="N111" s="181"/>
      <c r="O111" s="181"/>
      <c r="P111" s="181"/>
      <c r="Q111" s="181"/>
      <c r="S111" s="3544">
        <v>3000</v>
      </c>
      <c r="T111" s="3545"/>
      <c r="V111" s="1082"/>
      <c r="W111" s="3649"/>
      <c r="X111" s="3650"/>
      <c r="AA111" s="185"/>
      <c r="AB111" s="2598" t="s">
        <v>6713</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6281</v>
      </c>
      <c r="C112" s="3716" t="s">
        <v>6726</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6714</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6281</v>
      </c>
      <c r="C113" s="3714" t="s">
        <v>6726</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46</v>
      </c>
      <c r="AF113" s="2611">
        <f>IF($AD$105="Income Averaging",AD113*'DCA Underwriting Assumptions'!$Q$58,AD113*'DCA Underwriting Assumptions'!$Q$57)</f>
        <v>46000</v>
      </c>
      <c r="AZ113" s="2661" t="s">
        <v>6392</v>
      </c>
      <c r="BA113" s="2246">
        <v>113</v>
      </c>
    </row>
    <row r="114" spans="1:53" s="315" customFormat="1" ht="12.6" customHeight="1" thickTop="1">
      <c r="F114" s="371" t="s">
        <v>184</v>
      </c>
      <c r="G114" s="3645">
        <f>SUM(G105:G113)</f>
        <v>141300</v>
      </c>
      <c r="H114" s="3646"/>
      <c r="J114" s="373"/>
      <c r="K114" s="373"/>
      <c r="L114" s="1050"/>
      <c r="M114" s="373"/>
      <c r="N114" s="373"/>
      <c r="P114" s="373"/>
      <c r="Q114" s="373"/>
      <c r="S114" s="3645">
        <f>SUM(S105:S113)</f>
        <v>141300</v>
      </c>
      <c r="T114" s="3646"/>
      <c r="V114" s="1084">
        <f>SUM(V105:V113)</f>
        <v>0</v>
      </c>
      <c r="W114" s="3773"/>
      <c r="X114" s="3774"/>
      <c r="AA114" s="509" t="s">
        <v>6486</v>
      </c>
      <c r="AB114" s="185"/>
      <c r="AC114" s="2594"/>
      <c r="AD114" s="2609">
        <f>'Part V-Revenues &amp; Expenses'!$P$138+'Part V-Revenues &amp; Expenses'!$P$139</f>
        <v>0</v>
      </c>
      <c r="AF114" s="2611">
        <f>IF($AD$105="Income Averaging",AD114*'DCA Underwriting Assumptions'!$Q$58,AD114*'DCA Underwriting Assumptions'!$Q$57)</f>
        <v>0</v>
      </c>
      <c r="AZ114" s="2661" t="s">
        <v>6393</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46</v>
      </c>
      <c r="AF115" s="2612">
        <f>SUM(AF113:AF114)</f>
        <v>46000</v>
      </c>
      <c r="AZ115" s="2646"/>
      <c r="BA115" s="2246">
        <v>115</v>
      </c>
    </row>
    <row r="116" spans="1:53" s="315" customFormat="1" ht="12.6" customHeight="1">
      <c r="B116" s="315" t="s">
        <v>267</v>
      </c>
      <c r="G116" s="3533">
        <v>2500</v>
      </c>
      <c r="H116" s="3534"/>
      <c r="J116" s="3718"/>
      <c r="K116" s="3718"/>
      <c r="L116" s="1050"/>
      <c r="M116" s="3718"/>
      <c r="N116" s="3718"/>
      <c r="O116" s="1041"/>
      <c r="P116" s="3718"/>
      <c r="Q116" s="3718"/>
      <c r="S116" s="3533">
        <v>2500</v>
      </c>
      <c r="T116" s="3534"/>
      <c r="V116" s="1082"/>
      <c r="W116" s="3649"/>
      <c r="X116" s="3650"/>
      <c r="AZ116" s="2646"/>
      <c r="BA116" s="2246">
        <v>116</v>
      </c>
    </row>
    <row r="117" spans="1:53" s="315" customFormat="1" ht="12.6"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6" customHeight="1">
      <c r="B118" s="315" t="s">
        <v>2201</v>
      </c>
      <c r="G118" s="3544"/>
      <c r="H118" s="3545"/>
      <c r="J118" s="3718"/>
      <c r="K118" s="3718"/>
      <c r="L118" s="1050"/>
      <c r="M118" s="3718"/>
      <c r="N118" s="3718"/>
      <c r="O118" s="1041"/>
      <c r="P118" s="3718"/>
      <c r="Q118" s="3718"/>
      <c r="S118" s="3544"/>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6281</v>
      </c>
      <c r="C119" s="3685" t="s">
        <v>6726</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2500</v>
      </c>
      <c r="H120" s="3646"/>
      <c r="J120" s="3718"/>
      <c r="K120" s="3718"/>
      <c r="L120" s="1050"/>
      <c r="M120" s="3718"/>
      <c r="N120" s="3718"/>
      <c r="O120" s="1041"/>
      <c r="P120" s="3718"/>
      <c r="Q120" s="3718"/>
      <c r="S120" s="3645">
        <f>SUM(S116:S119)</f>
        <v>2500</v>
      </c>
      <c r="T120" s="3646"/>
      <c r="V120" s="1084">
        <f>SUM(V116:V119)</f>
        <v>0</v>
      </c>
      <c r="W120" s="3658"/>
      <c r="X120" s="3659"/>
      <c r="AC120" s="3669" t="s">
        <v>3926</v>
      </c>
      <c r="AD120" s="3669" t="s">
        <v>3927</v>
      </c>
      <c r="AE120" s="3683" t="s">
        <v>3930</v>
      </c>
      <c r="AF120" s="3675" t="s">
        <v>3928</v>
      </c>
      <c r="AG120" s="3805" t="s">
        <v>3919</v>
      </c>
      <c r="AH120" s="3796" t="s">
        <v>6747</v>
      </c>
      <c r="AI120" s="3796"/>
      <c r="AZ120" s="2646"/>
      <c r="BA120" s="2246">
        <v>120</v>
      </c>
    </row>
    <row r="121" spans="1:53" s="315" customFormat="1" ht="13.35" customHeight="1">
      <c r="B121" s="317" t="s">
        <v>269</v>
      </c>
      <c r="D121" s="628" t="s">
        <v>3929</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3917</v>
      </c>
      <c r="Z121" s="1631"/>
      <c r="AA121" s="300" t="s">
        <v>3923</v>
      </c>
      <c r="AB121" s="300" t="s">
        <v>3924</v>
      </c>
      <c r="AC121" s="3670"/>
      <c r="AD121" s="3670"/>
      <c r="AE121" s="3684"/>
      <c r="AF121" s="3676"/>
      <c r="AG121" s="3805"/>
      <c r="AH121" s="3796"/>
      <c r="AI121" s="3796"/>
      <c r="AK121" s="1641"/>
      <c r="AZ121" s="2646" t="s">
        <v>6394</v>
      </c>
      <c r="BA121" s="2245">
        <v>121</v>
      </c>
    </row>
    <row r="122" spans="1:53" s="315" customFormat="1" ht="12.6" customHeight="1">
      <c r="B122" s="315" t="s">
        <v>1724</v>
      </c>
      <c r="F122" s="422">
        <f>IF($G$127=0,0,G122/$G$127)</f>
        <v>0.2</v>
      </c>
      <c r="G122" s="3721">
        <v>249000</v>
      </c>
      <c r="H122" s="3721"/>
      <c r="J122" s="3722">
        <v>249000</v>
      </c>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1265000</v>
      </c>
      <c r="AF122" s="3677">
        <f>SUM(AE122:AE124)</f>
        <v>1265000</v>
      </c>
      <c r="AG122" s="3806">
        <f>'DCA Underwriting Assumptions'!$Q$72</f>
        <v>2000000</v>
      </c>
      <c r="AH122" s="3797">
        <f>MIN(AF122,AG122)</f>
        <v>1265000</v>
      </c>
      <c r="AI122" s="3798"/>
      <c r="AZ122" s="2646"/>
      <c r="BA122" s="2246">
        <v>122</v>
      </c>
    </row>
    <row r="123" spans="1:53" s="315" customFormat="1" ht="12.6" customHeight="1">
      <c r="B123" s="315" t="s">
        <v>3413</v>
      </c>
      <c r="F123" s="1216">
        <v>249000</v>
      </c>
      <c r="G123" s="2594" t="s">
        <v>6727</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8"/>
      <c r="AG123" s="3807"/>
      <c r="AH123" s="3799"/>
      <c r="AI123" s="3800"/>
      <c r="AZ123" s="2646"/>
      <c r="BA123" s="2246">
        <v>123</v>
      </c>
    </row>
    <row r="124" spans="1:53" s="315" customFormat="1" ht="12.6"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6"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1265000</v>
      </c>
      <c r="AF125" s="3677">
        <f>SUM(AE125:AE127)</f>
        <v>1265000</v>
      </c>
      <c r="AG125" s="3677">
        <f>'DCA Underwriting Assumptions'!$Q$73</f>
        <v>3500000</v>
      </c>
      <c r="AH125" s="3797">
        <f>MIN(AF125,AG125)</f>
        <v>1265000</v>
      </c>
      <c r="AI125" s="3798"/>
      <c r="AZ125" s="2646"/>
      <c r="BA125" s="2246">
        <v>125</v>
      </c>
    </row>
    <row r="126" spans="1:53" s="315" customFormat="1" ht="12.6" customHeight="1" thickBot="1">
      <c r="B126" s="315" t="s">
        <v>1717</v>
      </c>
      <c r="F126" s="422">
        <f>IF($G$127=0,0,G126/$G$127)</f>
        <v>0.8</v>
      </c>
      <c r="G126" s="3492">
        <v>996000</v>
      </c>
      <c r="H126" s="3493"/>
      <c r="J126" s="3492">
        <v>996000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8"/>
      <c r="AG126" s="3678"/>
      <c r="AH126" s="3799"/>
      <c r="AI126" s="3800"/>
      <c r="AZ126" s="2661"/>
      <c r="BA126" s="2246">
        <v>126</v>
      </c>
    </row>
    <row r="127" spans="1:53" s="315" customFormat="1" ht="12.6" customHeight="1" thickTop="1">
      <c r="A127" s="1656" t="str">
        <f>IF(G127&gt;E127,"DF over limit!  Round down/Enter nbr.","")</f>
        <v/>
      </c>
      <c r="B127" s="2638"/>
      <c r="D127" s="628" t="s">
        <v>3925</v>
      </c>
      <c r="E127" s="2639">
        <f>IF(E121="9%",AH122,IF(E121="4%",AH125,"Select App Type!"))</f>
        <v>1265000</v>
      </c>
      <c r="F127" s="371" t="s">
        <v>184</v>
      </c>
      <c r="G127" s="3645">
        <f>SUM(G122:G126)</f>
        <v>1245000</v>
      </c>
      <c r="H127" s="3724"/>
      <c r="J127" s="3645">
        <f>SUM(J122:J126)</f>
        <v>1245000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6395</v>
      </c>
      <c r="BA128" s="2246">
        <v>128</v>
      </c>
    </row>
    <row r="129" spans="1:53" s="315" customFormat="1" ht="12.6" customHeight="1">
      <c r="B129" s="315" t="s">
        <v>241</v>
      </c>
      <c r="G129" s="3533">
        <v>25000</v>
      </c>
      <c r="H129" s="3534"/>
      <c r="J129" s="381"/>
      <c r="K129" s="381"/>
      <c r="L129" s="381"/>
      <c r="M129" s="381"/>
      <c r="N129" s="381"/>
      <c r="P129" s="381"/>
      <c r="Q129" s="381"/>
      <c r="S129" s="3533">
        <v>25000</v>
      </c>
      <c r="T129" s="3534"/>
      <c r="V129" s="1082"/>
      <c r="W129" s="3649"/>
      <c r="X129" s="3650"/>
      <c r="Z129" s="1652"/>
      <c r="AB129" s="1633"/>
      <c r="AC129"/>
      <c r="AD129"/>
      <c r="AF129"/>
      <c r="AG129"/>
      <c r="AH129"/>
      <c r="AI129"/>
      <c r="AJ129"/>
      <c r="AK129"/>
      <c r="AZ129" s="2661" t="s">
        <v>6396</v>
      </c>
      <c r="BA129" s="2246">
        <v>129</v>
      </c>
    </row>
    <row r="130" spans="1:53" s="315" customFormat="1" ht="12.6" customHeight="1">
      <c r="B130" s="315" t="s">
        <v>1437</v>
      </c>
      <c r="F130" s="477">
        <f>+'Part V-Revenues &amp; Expenses'!$Q$228*('DCA Underwriting Assumptions'!$Q$87/12)</f>
        <v>54187.25</v>
      </c>
      <c r="G130" s="3544">
        <v>54188</v>
      </c>
      <c r="H130" s="3545"/>
      <c r="J130" s="971" t="str">
        <f>IF(E130&gt;G130,"WARNING! Rent-Up Reserves proposed is below minimum - add comment.","")</f>
        <v/>
      </c>
      <c r="K130" s="971"/>
      <c r="L130" s="1050"/>
      <c r="M130" s="951"/>
      <c r="N130" s="951"/>
      <c r="O130" s="1041"/>
      <c r="P130" s="951"/>
      <c r="Q130" s="951"/>
      <c r="R130" s="1041"/>
      <c r="S130" s="3544">
        <v>54188</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128284.64274002836</v>
      </c>
      <c r="G131" s="3544">
        <v>128285</v>
      </c>
      <c r="H131" s="3545"/>
      <c r="J131" s="971" t="str">
        <f>IF(E131&gt;G131,"WARNING! ODR proposed is below minimum - add comment.","")</f>
        <v/>
      </c>
      <c r="K131" s="380"/>
      <c r="L131" s="380"/>
      <c r="M131" s="380"/>
      <c r="N131" s="380"/>
      <c r="O131" s="1041"/>
      <c r="P131" s="380"/>
      <c r="Q131" s="380"/>
      <c r="R131" s="1041"/>
      <c r="S131" s="3544">
        <v>128285</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6397</v>
      </c>
      <c r="BA132" s="2246">
        <v>132</v>
      </c>
    </row>
    <row r="133" spans="1:53" s="315" customFormat="1" ht="12.6" customHeight="1">
      <c r="B133" s="315" t="s">
        <v>1172</v>
      </c>
      <c r="E133" s="840" t="s">
        <v>3140</v>
      </c>
      <c r="F133" s="477">
        <f>IF('Part V-Revenues &amp; Expenses'!$P$67=0,0,G133/'Part V-Revenues &amp; Expenses'!$P$67)</f>
        <v>1195.6521739130435</v>
      </c>
      <c r="G133" s="3544">
        <v>55000</v>
      </c>
      <c r="H133" s="3545"/>
      <c r="J133" s="3533">
        <v>55000</v>
      </c>
      <c r="K133" s="3534"/>
      <c r="L133" s="1050"/>
      <c r="M133" s="3533"/>
      <c r="N133" s="3534"/>
      <c r="P133" s="3533"/>
      <c r="Q133" s="3534"/>
      <c r="S133" s="3544"/>
      <c r="T133" s="3545"/>
      <c r="V133" s="1082"/>
      <c r="W133" s="3649"/>
      <c r="X133" s="3650"/>
      <c r="AZ133" s="2661" t="s">
        <v>6398</v>
      </c>
      <c r="BA133" s="2246">
        <v>133</v>
      </c>
    </row>
    <row r="134" spans="1:53" s="315" customFormat="1" ht="12.6" customHeight="1" thickBot="1">
      <c r="A134" s="396" t="str">
        <f>IF(AND(G134&gt;0,OR(C134="",C134="&lt;Enter detailed description here; use Comments section if needed&gt;")),"X","")</f>
        <v/>
      </c>
      <c r="B134" s="185" t="s">
        <v>6281</v>
      </c>
      <c r="C134" s="3685" t="s">
        <v>6944</v>
      </c>
      <c r="D134" s="3685"/>
      <c r="E134" s="3685"/>
      <c r="F134" s="3686"/>
      <c r="G134" s="3492">
        <v>20000</v>
      </c>
      <c r="H134" s="3493"/>
      <c r="J134" s="3647"/>
      <c r="K134" s="3648"/>
      <c r="L134" s="1050"/>
      <c r="M134" s="3492"/>
      <c r="N134" s="3493"/>
      <c r="P134" s="3492"/>
      <c r="Q134" s="3493"/>
      <c r="S134" s="3492">
        <v>20000</v>
      </c>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282473</v>
      </c>
      <c r="H135" s="3646"/>
      <c r="J135" s="3645">
        <f>SUM(J133:J134)</f>
        <v>55000</v>
      </c>
      <c r="K135" s="3646"/>
      <c r="L135" s="1050"/>
      <c r="M135" s="3645">
        <f>SUM(M133:M134)</f>
        <v>0</v>
      </c>
      <c r="N135" s="3646"/>
      <c r="P135" s="3645">
        <f>SUM(P133:P134)</f>
        <v>0</v>
      </c>
      <c r="Q135" s="3646"/>
      <c r="S135" s="3645">
        <f>SUM(S129:S134)</f>
        <v>227473</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6281</v>
      </c>
      <c r="C143" s="3685" t="s">
        <v>6726</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794">
        <f>G18+G24+G28+G36+G41+G46+G55+G73+G86+G92+G103+G114+G120+G127+G135+G144</f>
        <v>13171427</v>
      </c>
      <c r="H146" s="3795"/>
      <c r="J146" s="3794">
        <f>J18+J24+J28+J36+J41+J46+J55+J73+J86+J92+J103+J114+J120+J127+J135+J144</f>
        <v>12135973</v>
      </c>
      <c r="K146" s="3795"/>
      <c r="M146" s="3794">
        <f>M18+M24+M28+M36+M41+M46+M55+M73+M86+M92+M103+M114+M120+M127+M135+M144</f>
        <v>0</v>
      </c>
      <c r="N146" s="3795"/>
      <c r="P146" s="3794">
        <f>P18+P24+P28+P36+P41+P46+P55+P73+P86+P92+P103+P114+P120+P127+P135+P144</f>
        <v>0</v>
      </c>
      <c r="Q146" s="3795"/>
      <c r="S146" s="3794">
        <f>S18+S24+S28+S36+S41+S46+S55+S73+S86+S92+S103+S114+S120+S127+S135+S144</f>
        <v>1035454</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1">
        <f>IF('Part V-Revenues &amp; Expenses'!$P$67=0,0,G146/'Part V-Revenues &amp; Expenses'!$P$67)</f>
        <v>286335.36956521741</v>
      </c>
      <c r="E148" s="3791"/>
      <c r="F148" s="513" t="s">
        <v>2489</v>
      </c>
      <c r="G148" s="3792">
        <f>IF('Part V-Revenues &amp; Expenses'!$K$175=0,0,G146/'Part V-Revenues &amp; Expenses'!$K$175)</f>
        <v>274.47334750354253</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1" customHeight="1">
      <c r="B155" s="1041" t="s">
        <v>1727</v>
      </c>
      <c r="D155" s="1041"/>
      <c r="E155" s="1041"/>
      <c r="I155" s="385"/>
      <c r="J155" s="3811"/>
      <c r="K155" s="3812"/>
      <c r="P155" s="3811"/>
      <c r="Q155" s="3812"/>
      <c r="V155" s="1082"/>
      <c r="W155" s="3649"/>
      <c r="X155" s="3650"/>
      <c r="AZ155" s="2661"/>
      <c r="BA155" s="2246">
        <v>155</v>
      </c>
    </row>
    <row r="156" spans="1:53" s="315" customFormat="1" ht="14.1" customHeight="1">
      <c r="B156" s="1041" t="s">
        <v>1728</v>
      </c>
      <c r="D156" s="1041"/>
      <c r="E156" s="1041"/>
      <c r="I156" s="385"/>
      <c r="J156" s="3811"/>
      <c r="K156" s="3812"/>
      <c r="P156" s="3811"/>
      <c r="Q156" s="3812"/>
      <c r="V156" s="1082"/>
      <c r="W156" s="3649"/>
      <c r="X156" s="3650"/>
      <c r="AZ156" s="2661"/>
      <c r="BA156" s="2246">
        <v>156</v>
      </c>
    </row>
    <row r="157" spans="1:53" s="315" customFormat="1" ht="14.1" customHeight="1">
      <c r="B157" s="1041" t="s">
        <v>243</v>
      </c>
      <c r="D157" s="1041"/>
      <c r="E157" s="1041"/>
      <c r="I157" s="385"/>
      <c r="J157" s="3811"/>
      <c r="K157" s="3812"/>
      <c r="P157" s="3811"/>
      <c r="Q157" s="3812"/>
      <c r="V157" s="1082"/>
      <c r="W157" s="3649"/>
      <c r="X157" s="3650"/>
      <c r="AZ157" s="2661"/>
      <c r="BA157" s="2246">
        <v>157</v>
      </c>
    </row>
    <row r="158" spans="1:53" s="315" customFormat="1" ht="14.1"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12135973</v>
      </c>
      <c r="K162" s="3642"/>
      <c r="M162" s="3643">
        <f>M146</f>
        <v>0</v>
      </c>
      <c r="N162" s="3644"/>
      <c r="P162" s="3641">
        <f>P146</f>
        <v>0</v>
      </c>
      <c r="Q162" s="3642"/>
      <c r="R162" s="3777" t="s">
        <v>3775</v>
      </c>
      <c r="S162" s="3743"/>
      <c r="T162" s="3743"/>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2054</v>
      </c>
      <c r="J164" s="3662">
        <f>J162-J163</f>
        <v>12135973</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6945</v>
      </c>
      <c r="I165" s="3728"/>
      <c r="J165" s="3729">
        <v>1.3</v>
      </c>
      <c r="K165" s="3730"/>
      <c r="M165" s="3731"/>
      <c r="N165" s="3731"/>
      <c r="P165" s="3729"/>
      <c r="Q165" s="3730"/>
      <c r="R165" s="3778" t="s">
        <v>3207</v>
      </c>
      <c r="S165" s="3779"/>
      <c r="T165" s="3780"/>
      <c r="U165" s="1477"/>
      <c r="V165" s="1082"/>
      <c r="W165" s="3649"/>
      <c r="X165" s="3650"/>
      <c r="AZ165" s="2661"/>
      <c r="BA165" s="2246">
        <v>165</v>
      </c>
    </row>
    <row r="166" spans="1:53" s="315" customFormat="1" ht="14.1" customHeight="1">
      <c r="B166" s="315" t="s">
        <v>1904</v>
      </c>
      <c r="J166" s="3662">
        <f>J164*J165</f>
        <v>15776764.9</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 customHeight="1">
      <c r="B167" s="315" t="s">
        <v>2340</v>
      </c>
      <c r="J167" s="3732">
        <f>MIN('Part V-Revenues &amp; Expenses'!$P$63/'Part V-Revenues &amp; Expenses'!$P$65,'Part V-Revenues &amp; Expenses'!$P$164/'Part V-Revenues &amp; Expenses'!$P$166)</f>
        <v>1</v>
      </c>
      <c r="K167" s="3733"/>
      <c r="M167" s="3732">
        <f>MIN('Part V-Revenues &amp; Expenses'!$P$63/'Part V-Revenues &amp; Expenses'!$P$65,'Part V-Revenues &amp; Expenses'!$P$164/'Part V-Revenues &amp; Expenses'!$P$166)</f>
        <v>1</v>
      </c>
      <c r="N167" s="3733"/>
      <c r="P167" s="3732">
        <f>MIN('Part V-Revenues &amp; Expenses'!$P$63/'Part V-Revenues &amp; Expenses'!$P$65,'Part V-Revenues &amp; Expenses'!$P$164/'Part V-Revenues &amp; Expenses'!$P$166)</f>
        <v>1</v>
      </c>
      <c r="Q167" s="3733"/>
      <c r="R167" s="3784"/>
      <c r="S167" s="3785"/>
      <c r="T167" s="3786"/>
      <c r="V167" s="1082"/>
      <c r="W167" s="3649"/>
      <c r="X167" s="3650"/>
      <c r="AZ167" s="2661"/>
      <c r="BA167" s="2246">
        <v>167</v>
      </c>
    </row>
    <row r="168" spans="1:53" s="315" customFormat="1" ht="14.1" customHeight="1">
      <c r="B168" s="315" t="s">
        <v>1896</v>
      </c>
      <c r="J168" s="3662">
        <f>J166*J167</f>
        <v>15776764.9</v>
      </c>
      <c r="K168" s="3663"/>
      <c r="M168" s="3662">
        <f>M166*M167</f>
        <v>0</v>
      </c>
      <c r="N168" s="3663"/>
      <c r="P168" s="3662">
        <f>P166*P167</f>
        <v>0</v>
      </c>
      <c r="Q168" s="3663"/>
      <c r="V168" s="1082"/>
      <c r="W168" s="3649"/>
      <c r="X168" s="3650"/>
      <c r="AZ168" s="2661"/>
      <c r="BA168" s="2246">
        <v>168</v>
      </c>
    </row>
    <row r="169" spans="1:53" s="315" customFormat="1" ht="14.1" customHeight="1">
      <c r="B169" s="315" t="s">
        <v>1897</v>
      </c>
      <c r="J169" s="3729">
        <v>0.09</v>
      </c>
      <c r="K169" s="3730"/>
      <c r="M169" s="3729"/>
      <c r="N169" s="3730"/>
      <c r="P169" s="3729"/>
      <c r="Q169" s="3730"/>
      <c r="V169" s="1082"/>
      <c r="W169" s="3649"/>
      <c r="X169" s="3650"/>
      <c r="AZ169" s="2661"/>
      <c r="BA169" s="2246">
        <v>169</v>
      </c>
    </row>
    <row r="170" spans="1:53" s="315" customFormat="1" ht="14.1" customHeight="1" thickBot="1">
      <c r="B170" s="315" t="s">
        <v>2341</v>
      </c>
      <c r="J170" s="3734">
        <f>J168*J169</f>
        <v>1419908.841</v>
      </c>
      <c r="K170" s="3735"/>
      <c r="M170" s="3734">
        <f>M168*M169</f>
        <v>0</v>
      </c>
      <c r="N170" s="3735"/>
      <c r="P170" s="3734">
        <f>P168*P169</f>
        <v>0</v>
      </c>
      <c r="Q170" s="3735"/>
      <c r="V170" s="1089"/>
      <c r="W170" s="3656"/>
      <c r="X170" s="3657"/>
      <c r="AZ170" s="2661"/>
      <c r="BA170" s="2246">
        <v>170</v>
      </c>
    </row>
    <row r="171" spans="1:53" s="315" customFormat="1" ht="14.1" customHeight="1" thickBot="1">
      <c r="B171" s="317" t="s">
        <v>1340</v>
      </c>
      <c r="J171" s="3618">
        <f>ROUNDDOWN(J170+M170+P170,0)</f>
        <v>1419908</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3938</v>
      </c>
      <c r="C176" s="1661"/>
      <c r="J176" s="3641">
        <f>G146</f>
        <v>13171427</v>
      </c>
      <c r="K176" s="3760"/>
      <c r="L176" s="3642"/>
      <c r="N176" s="3739" t="s">
        <v>6721</v>
      </c>
      <c r="O176" s="3740"/>
      <c r="P176" s="3740"/>
      <c r="Q176" s="3741"/>
      <c r="S176" s="3756" t="s">
        <v>3190</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525110</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2065</v>
      </c>
      <c r="J178" s="3762">
        <f>+J176-J177</f>
        <v>12646317</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c r="V179" s="1082"/>
      <c r="W179" s="3649"/>
      <c r="X179" s="3650"/>
      <c r="AZ179" s="2661"/>
      <c r="BA179" s="2246">
        <v>179</v>
      </c>
    </row>
    <row r="180" spans="1:53" s="315" customFormat="1" ht="14.1" customHeight="1">
      <c r="B180" s="315" t="s">
        <v>1211</v>
      </c>
      <c r="J180" s="3660">
        <f>J178/10</f>
        <v>1264631.7</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1.22</v>
      </c>
      <c r="K182" s="3749"/>
      <c r="L182" s="3750"/>
      <c r="M182" s="1036" t="s">
        <v>1213</v>
      </c>
      <c r="N182" s="3751">
        <v>0.85</v>
      </c>
      <c r="O182" s="3752"/>
      <c r="P182" s="1036" t="s">
        <v>570</v>
      </c>
      <c r="Q182" s="3751">
        <v>0.37</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1036583</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3937</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6720</v>
      </c>
      <c r="J187" s="3753">
        <v>1035000</v>
      </c>
      <c r="K187" s="3754"/>
      <c r="L187" s="3755"/>
      <c r="Q187" s="2172" t="s">
        <v>6253</v>
      </c>
      <c r="R187" s="185"/>
      <c r="S187" s="3639" t="str">
        <f>'Part VIII Scoring Criteria'!$M$59</f>
        <v>Rural</v>
      </c>
      <c r="T187" s="3640"/>
      <c r="U187" s="2111" t="str">
        <f>IF(OR(S187="Atlanta Metro", "Other Metro"), "Metro", IF(S187="Rural","Rural",""))</f>
        <v>Rural</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4077</v>
      </c>
      <c r="J189" s="3753">
        <v>1035000</v>
      </c>
      <c r="K189" s="3754"/>
      <c r="L189" s="3755"/>
      <c r="M189" s="3738" t="str">
        <f>IF(J187=0,"",IF(J189&gt;J187,"Request can't exceed Maximum - REVISE (Try Round Down)!",""))</f>
        <v/>
      </c>
      <c r="N189" s="3738"/>
      <c r="O189" s="3738"/>
      <c r="P189" s="3738"/>
      <c r="Q189" s="313" t="s">
        <v>6551</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4078</v>
      </c>
      <c r="D191" s="332"/>
      <c r="E191" s="332"/>
      <c r="F191" s="320"/>
      <c r="J191" s="3768">
        <f>IF(J189="",0,+MIN(J187,J189))</f>
        <v>1035000</v>
      </c>
      <c r="K191" s="3769"/>
      <c r="L191" s="3770"/>
      <c r="M191" s="3738"/>
      <c r="N191" s="3738"/>
      <c r="O191" s="3738"/>
      <c r="P191" s="3738"/>
      <c r="Q191" s="305" t="s">
        <v>3929</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7013</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18" priority="15" stopIfTrue="1" operator="greaterThan">
      <formula>$J$187</formula>
    </cfRule>
  </conditionalFormatting>
  <conditionalFormatting sqref="J38:K38 M38:N38 P38:Q38">
    <cfRule type="cellIs" dxfId="117" priority="14" operator="greaterThan">
      <formula>$G$38</formula>
    </cfRule>
  </conditionalFormatting>
  <conditionalFormatting sqref="J39:K40 M39:N40 P39:Q40">
    <cfRule type="cellIs" dxfId="116" priority="13" operator="greaterThan">
      <formula>$G$40</formula>
    </cfRule>
  </conditionalFormatting>
  <conditionalFormatting sqref="G40">
    <cfRule type="cellIs" dxfId="115" priority="19" stopIfTrue="1" operator="greaterThan">
      <formula>$E$40</formula>
    </cfRule>
  </conditionalFormatting>
  <conditionalFormatting sqref="O174:V174">
    <cfRule type="cellIs" dxfId="114" priority="11" operator="equal">
      <formula>"QAP Cost Limit TDC exceeds Project Cost Limit!"</formula>
    </cfRule>
  </conditionalFormatting>
  <conditionalFormatting sqref="G55:H55">
    <cfRule type="cellIs" dxfId="113" priority="7" operator="greaterThan">
      <formula>$E$55</formula>
    </cfRule>
  </conditionalFormatting>
  <dataValidations count="4">
    <dataValidation type="list" allowBlank="1" showInputMessage="1" showErrorMessage="1" sqref="E90:E91">
      <formula1>"Yes, No"</formula1>
    </dataValidation>
    <dataValidation type="list" allowBlank="1" showInputMessage="1" showErrorMessage="1" sqref="H165">
      <formula1>"&lt;&lt;Select&gt;&gt;,DDA/QCT, State Boost"</formula1>
    </dataValidation>
    <dataValidation type="list" operator="greaterThanOrEqual" allowBlank="1" showInputMessage="1" showErrorMessage="1" sqref="T179">
      <formula1>"Yes, No"</formula1>
    </dataValidation>
    <dataValidation type="list" allowBlank="1" showInputMessage="1" showErrorMessage="1" sqref="R165:T167">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52" zoomScaleNormal="100" workbookViewId="0">
      <selection activeCell="I68" sqref="I68"/>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Magnolia Villas  -  Tifton  -  Tift,  County</v>
      </c>
      <c r="B1" s="3814"/>
      <c r="C1" s="3814"/>
      <c r="D1" s="3814"/>
      <c r="E1" s="3814"/>
      <c r="F1" s="3814"/>
      <c r="G1" s="3814"/>
      <c r="H1" s="3814"/>
      <c r="I1" s="923"/>
      <c r="J1" s="923"/>
      <c r="K1" s="923"/>
      <c r="L1" s="923"/>
      <c r="M1" s="923"/>
      <c r="N1" s="923"/>
    </row>
    <row r="2" spans="1:14" ht="9" customHeight="1"/>
    <row r="3" spans="1:14" ht="57" customHeight="1">
      <c r="A3" s="3815" t="s">
        <v>3217</v>
      </c>
      <c r="B3" s="3816"/>
      <c r="C3" s="3816"/>
      <c r="D3" s="3816"/>
      <c r="E3" s="3816"/>
      <c r="F3" s="3816"/>
      <c r="G3" s="3816"/>
      <c r="H3" s="3817"/>
    </row>
    <row r="4" spans="1:14" ht="6" customHeight="1"/>
    <row r="5" spans="1:14" ht="38.25" customHeight="1">
      <c r="A5" s="3818" t="s">
        <v>3278</v>
      </c>
      <c r="B5" s="3818"/>
      <c r="C5" s="3818"/>
      <c r="D5" s="3818"/>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3212</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3212</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3212</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3211</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3212</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3212</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3212</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&lt;&lt; Enter description here; provide detail &amp; justification in tab Part III-b &gt;&gt;</v>
      </c>
      <c r="B42" s="3832"/>
      <c r="C42" s="3832"/>
      <c r="D42" s="3833"/>
      <c r="F42" s="3828"/>
      <c r="G42" s="927"/>
      <c r="H42" s="3828"/>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3212</v>
      </c>
      <c r="B45" s="935">
        <f>'Part III-A-Uses of Funds'!$G$85</f>
        <v>0</v>
      </c>
      <c r="C45" s="936" t="s">
        <v>1666</v>
      </c>
      <c r="D45" s="935">
        <f>'Part III-A-Uses of Funds'!$J$85+'Part III-A-Uses of Funds'!$M$85+'Part III-A-Uses of Funds'!$P$85</f>
        <v>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3212</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3213</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3212</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3212</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3214</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3212</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70.5" customHeight="1">
      <c r="A71" s="3831" t="str">
        <f>'Part III-A-Uses of Funds'!$C$134</f>
        <v>Community Improvement Fund</v>
      </c>
      <c r="B71" s="3832"/>
      <c r="C71" s="3832"/>
      <c r="D71" s="3833"/>
      <c r="F71" s="3828" t="s">
        <v>7009</v>
      </c>
      <c r="G71" s="927"/>
      <c r="H71" s="3828"/>
    </row>
    <row r="72" spans="1:8" s="926" customFormat="1" ht="7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3212</v>
      </c>
      <c r="B74" s="935">
        <f>'Part III-A-Uses of Funds'!$G$134</f>
        <v>20000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3215</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3212</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Y46"/>
  <sheetViews>
    <sheetView showGridLines="0" zoomScaleNormal="100" workbookViewId="0">
      <selection activeCell="L8" sqref="L8:M8"/>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Magnolia Villas, Tifton, Tift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6742</v>
      </c>
      <c r="I3" s="1660" t="str">
        <f>VLOOKUP('Part I-Project Identification'!$J$30,'DCA Underwriting Assumptions'!$G$136:$H$295,2)</f>
        <v>South</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6913</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44562</v>
      </c>
      <c r="J8" s="3844"/>
      <c r="K8" s="6" t="s">
        <v>505</v>
      </c>
      <c r="L8" s="3834" t="s">
        <v>6914</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6915</v>
      </c>
      <c r="E12" s="3837"/>
      <c r="F12" s="272" t="s">
        <v>416</v>
      </c>
      <c r="G12" s="272"/>
      <c r="H12" s="1017"/>
      <c r="I12" s="1601"/>
      <c r="J12" s="1601">
        <v>4</v>
      </c>
      <c r="K12" s="1601">
        <v>5</v>
      </c>
      <c r="L12" s="1601"/>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7</v>
      </c>
      <c r="K13" s="1602">
        <v>9</v>
      </c>
      <c r="L13" s="1603"/>
      <c r="M13" s="1603"/>
      <c r="O13" s="3848" t="s">
        <v>3277</v>
      </c>
      <c r="P13" s="3848"/>
      <c r="Q13" s="3848"/>
    </row>
    <row r="14" spans="1:25" s="8" customFormat="1" ht="12" customHeight="1">
      <c r="B14" s="1610" t="s">
        <v>1494</v>
      </c>
      <c r="C14" s="1611"/>
      <c r="D14" s="3855" t="s">
        <v>1492</v>
      </c>
      <c r="E14" s="3856"/>
      <c r="F14" s="273" t="s">
        <v>416</v>
      </c>
      <c r="G14" s="273"/>
      <c r="H14" s="268"/>
      <c r="I14" s="1602"/>
      <c r="J14" s="1602">
        <v>14</v>
      </c>
      <c r="K14" s="1602">
        <v>18</v>
      </c>
      <c r="L14" s="1603"/>
      <c r="M14" s="1603"/>
      <c r="O14" s="3848"/>
      <c r="P14" s="3848"/>
      <c r="Q14" s="3848"/>
    </row>
    <row r="15" spans="1:25" s="8" customFormat="1" ht="12" customHeight="1">
      <c r="B15" s="1612" t="s">
        <v>440</v>
      </c>
      <c r="C15" s="1613"/>
      <c r="D15" s="1612" t="s">
        <v>1492</v>
      </c>
      <c r="E15" s="269"/>
      <c r="F15" s="273" t="s">
        <v>416</v>
      </c>
      <c r="G15" s="273"/>
      <c r="H15" s="1015"/>
      <c r="I15" s="1602"/>
      <c r="J15" s="1602">
        <v>10</v>
      </c>
      <c r="K15" s="1602">
        <v>13</v>
      </c>
      <c r="L15" s="1603"/>
      <c r="M15" s="1603"/>
      <c r="O15" s="3848"/>
      <c r="P15" s="3848"/>
      <c r="Q15" s="3848"/>
    </row>
    <row r="16" spans="1:25" s="8" customFormat="1" ht="12" customHeight="1">
      <c r="B16" s="1614" t="s">
        <v>3271</v>
      </c>
      <c r="C16" s="1609"/>
      <c r="D16" s="1608" t="s">
        <v>1492</v>
      </c>
      <c r="E16" s="1014"/>
      <c r="F16" s="273"/>
      <c r="G16" s="273" t="s">
        <v>416</v>
      </c>
      <c r="H16" s="1016"/>
      <c r="I16" s="1602"/>
      <c r="J16" s="1602"/>
      <c r="K16" s="1602"/>
      <c r="L16" s="1603"/>
      <c r="M16" s="1603"/>
      <c r="O16" s="3848"/>
      <c r="P16" s="3848"/>
      <c r="Q16" s="3848"/>
    </row>
    <row r="17" spans="1:25" s="8" customFormat="1" ht="12" customHeight="1">
      <c r="B17" s="1614" t="s">
        <v>3272</v>
      </c>
      <c r="C17" s="1609"/>
      <c r="D17" s="1608" t="s">
        <v>1492</v>
      </c>
      <c r="E17" s="1014"/>
      <c r="F17" s="273"/>
      <c r="G17" s="273" t="s">
        <v>416</v>
      </c>
      <c r="H17" s="1016"/>
      <c r="I17" s="1602"/>
      <c r="J17" s="1602"/>
      <c r="K17" s="1602"/>
      <c r="L17" s="1603"/>
      <c r="M17" s="1603"/>
      <c r="O17" s="3848"/>
      <c r="P17" s="3848"/>
      <c r="Q17" s="3848"/>
    </row>
    <row r="18" spans="1:25" s="8" customFormat="1" ht="12" customHeight="1">
      <c r="B18" s="1615" t="s">
        <v>3273</v>
      </c>
      <c r="C18" s="1611"/>
      <c r="D18" s="1610" t="s">
        <v>1492</v>
      </c>
      <c r="E18" s="1014"/>
      <c r="F18" s="273" t="s">
        <v>416</v>
      </c>
      <c r="G18" s="273"/>
      <c r="H18" s="268"/>
      <c r="I18" s="1602"/>
      <c r="J18" s="1602">
        <v>21</v>
      </c>
      <c r="K18" s="1602">
        <v>27</v>
      </c>
      <c r="L18" s="1603"/>
      <c r="M18" s="1603"/>
      <c r="O18" s="3848"/>
      <c r="P18" s="3848"/>
      <c r="Q18" s="3848"/>
    </row>
    <row r="19" spans="1:25" s="8" customFormat="1" ht="12" customHeight="1">
      <c r="B19" s="1612" t="s">
        <v>1293</v>
      </c>
      <c r="C19" s="1613"/>
      <c r="D19" s="1618" t="s">
        <v>3079</v>
      </c>
      <c r="E19" s="1600" t="s">
        <v>2651</v>
      </c>
      <c r="F19" s="273" t="s">
        <v>416</v>
      </c>
      <c r="G19" s="273"/>
      <c r="H19" s="1015"/>
      <c r="I19" s="1602"/>
      <c r="J19" s="1602">
        <v>41</v>
      </c>
      <c r="K19" s="1602">
        <v>52</v>
      </c>
      <c r="L19" s="1603"/>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3277</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3271</v>
      </c>
      <c r="C33" s="1609"/>
      <c r="D33" s="1608" t="s">
        <v>1492</v>
      </c>
      <c r="E33" s="1014"/>
      <c r="F33" s="273"/>
      <c r="G33" s="273"/>
      <c r="H33" s="1016"/>
      <c r="I33" s="1602"/>
      <c r="J33" s="1602"/>
      <c r="K33" s="1602"/>
      <c r="L33" s="1603"/>
      <c r="M33" s="1603"/>
      <c r="O33" s="3848"/>
      <c r="P33" s="3848"/>
      <c r="Q33" s="3848"/>
    </row>
    <row r="34" spans="1:19" s="8" customFormat="1" ht="12" customHeight="1">
      <c r="B34" s="1614" t="s">
        <v>3272</v>
      </c>
      <c r="C34" s="1609"/>
      <c r="D34" s="1608" t="s">
        <v>1492</v>
      </c>
      <c r="E34" s="1014"/>
      <c r="F34" s="273"/>
      <c r="G34" s="273"/>
      <c r="H34" s="1016"/>
      <c r="I34" s="1602"/>
      <c r="J34" s="1602"/>
      <c r="K34" s="1602"/>
      <c r="L34" s="1603"/>
      <c r="M34" s="1603"/>
      <c r="O34" s="3848"/>
      <c r="P34" s="3848"/>
      <c r="Q34" s="3848"/>
    </row>
    <row r="35" spans="1:19" s="8" customFormat="1" ht="12" customHeight="1">
      <c r="B35" s="1615" t="s">
        <v>3273</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7008</v>
      </c>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12" priority="8" operator="equal">
      <formula>"""&lt;&lt;Select Fuel &gt;&gt;"""</formula>
    </cfRule>
  </conditionalFormatting>
  <conditionalFormatting sqref="I22:M22">
    <cfRule type="cellIs" dxfId="111" priority="6" operator="equal">
      <formula>"Select Fuel"</formula>
    </cfRule>
    <cfRule type="cellIs" dxfId="110" priority="7" operator="equal">
      <formula>"&lt;&lt;Select Fuel &gt;&gt;"</formula>
    </cfRule>
  </conditionalFormatting>
  <conditionalFormatting sqref="J22:M22">
    <cfRule type="cellIs" dxfId="109" priority="5" operator="equal">
      <formula>"Select Fuel"</formula>
    </cfRule>
  </conditionalFormatting>
  <conditionalFormatting sqref="I39:M39">
    <cfRule type="cellIs" dxfId="108" priority="2" operator="equal">
      <formula>"Select Fuel"</formula>
    </cfRule>
    <cfRule type="cellIs" dxfId="107" priority="3" operator="equal">
      <formula>"&lt;&lt;Select Fuel &gt;&gt;"</formula>
    </cfRule>
  </conditionalFormatting>
  <conditionalFormatting sqref="J39:M39">
    <cfRule type="cellIs" dxfId="106"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F12:G21 F29:G38">
      <formula1>"X"</formula1>
    </dataValidation>
    <dataValidation type="list" allowBlank="1" showInputMessage="1" showErrorMessage="1" sqref="L8:M8 L25:M25">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James Cox</cp:lastModifiedBy>
  <cp:lastPrinted>2022-05-23T15:40:29Z</cp:lastPrinted>
  <dcterms:created xsi:type="dcterms:W3CDTF">2005-09-15T20:51:37Z</dcterms:created>
  <dcterms:modified xsi:type="dcterms:W3CDTF">2022-05-27T15:23:32Z</dcterms:modified>
</cp:coreProperties>
</file>