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J:\AEP\Projections-AEP\2022 GA Applications\2022 Applications\Adel - CAPNA\2022-0xxCyprsRsv\"/>
    </mc:Choice>
  </mc:AlternateContent>
  <workbookProtection workbookAlgorithmName="SHA-512" workbookHashValue="hopbAi3brGwUWTY1TMGN94VNq8xYmJaC64kFeolDg0aShAGQt0LAzNtFwA7E6+nlSd8JzvUb11adfBFt0LHRCQ==" workbookSaltValue="LzT/4x8Js6YPL4BaGOjGOw==" workbookSpinCount="100000" lockStructure="1"/>
  <bookViews>
    <workbookView xWindow="-105" yWindow="-105" windowWidth="23250" windowHeight="12570" tabRatio="876" firstSheet="7" activeTab="11"/>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4" i="99" l="1"/>
  <c r="P1680" i="99"/>
  <c r="P1914" i="99"/>
  <c r="P1918" i="99"/>
  <c r="AG1550" i="99" s="1"/>
  <c r="O1918" i="99"/>
  <c r="L1918" i="99" s="1"/>
  <c r="P1908" i="99"/>
  <c r="O1908" i="99"/>
  <c r="P1859" i="99"/>
  <c r="O1859" i="99"/>
  <c r="P1839" i="99"/>
  <c r="O1839" i="99"/>
  <c r="L1839" i="99" s="1"/>
  <c r="P1824" i="99"/>
  <c r="AI1543" i="99" s="1"/>
  <c r="O1824" i="99"/>
  <c r="AA1543" i="99" s="1"/>
  <c r="P1732" i="99"/>
  <c r="AD1536" i="99" s="1"/>
  <c r="O1732" i="99"/>
  <c r="P1642" i="99"/>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O1681" i="99"/>
  <c r="O1674" i="99"/>
  <c r="O1689" i="99"/>
  <c r="O1688" i="99"/>
  <c r="O1718" i="99"/>
  <c r="Q1718" i="99" s="1"/>
  <c r="O1717" i="99"/>
  <c r="Q1717" i="99" s="1"/>
  <c r="O1726" i="99"/>
  <c r="O1725" i="99"/>
  <c r="O1733" i="99"/>
  <c r="O1767" i="99"/>
  <c r="O1766" i="99"/>
  <c r="O1802" i="99"/>
  <c r="Q1802" i="99" s="1"/>
  <c r="O1801" i="99"/>
  <c r="Q1801" i="99" s="1"/>
  <c r="O1840" i="99"/>
  <c r="O1891" i="99"/>
  <c r="O1890" i="99"/>
  <c r="O1926" i="99"/>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Q1745" i="99" s="1"/>
  <c r="O1744" i="99"/>
  <c r="Q1744" i="99" s="1"/>
  <c r="O1743" i="99"/>
  <c r="Q1743" i="99" s="1"/>
  <c r="I1706" i="99"/>
  <c r="I1705" i="99"/>
  <c r="I1704" i="99"/>
  <c r="O1686" i="99"/>
  <c r="O1685" i="99"/>
  <c r="O1684" i="99"/>
  <c r="O1672" i="99"/>
  <c r="Q1672" i="99" s="1"/>
  <c r="O1671" i="99"/>
  <c r="Q1671" i="99" s="1"/>
  <c r="O1670" i="99"/>
  <c r="Q1670" i="99" s="1"/>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603" i="99" s="1"/>
  <c r="M1545" i="99"/>
  <c r="L1868" i="99" s="1"/>
  <c r="P1539" i="99"/>
  <c r="P1538" i="99"/>
  <c r="P1533" i="99"/>
  <c r="P1534" i="99"/>
  <c r="P1532" i="99"/>
  <c r="Q1926" i="99"/>
  <c r="L1914" i="99"/>
  <c r="Q1879" i="99"/>
  <c r="Q1872" i="99"/>
  <c r="L1870" i="99"/>
  <c r="J1868" i="99"/>
  <c r="L1859" i="99"/>
  <c r="M1853" i="99"/>
  <c r="Q1839" i="99"/>
  <c r="S1834" i="99"/>
  <c r="R1834" i="99"/>
  <c r="M1857" i="99" s="1"/>
  <c r="K1832" i="99"/>
  <c r="K1810" i="99"/>
  <c r="P1808" i="99"/>
  <c r="J1808" i="99"/>
  <c r="Q1767" i="99"/>
  <c r="Q1766" i="99"/>
  <c r="M1725" i="99"/>
  <c r="K1716" i="99"/>
  <c r="H1715" i="99"/>
  <c r="N1704" i="99"/>
  <c r="Q1697" i="99"/>
  <c r="L1681" i="99"/>
  <c r="Q1674" i="99"/>
  <c r="L1674" i="99"/>
  <c r="V1667" i="99"/>
  <c r="Q1667" i="99"/>
  <c r="V1666" i="99"/>
  <c r="Q1666" i="99"/>
  <c r="Q1662" i="99"/>
  <c r="Q1642" i="99"/>
  <c r="H1642" i="99"/>
  <c r="M1625" i="99"/>
  <c r="J1588" i="99"/>
  <c r="Q1585" i="99"/>
  <c r="J1584" i="99"/>
  <c r="I1581" i="99"/>
  <c r="L1579" i="99"/>
  <c r="J1579" i="99"/>
  <c r="O1565" i="99"/>
  <c r="J1565" i="99"/>
  <c r="P1558" i="99" s="1"/>
  <c r="F1565" i="99"/>
  <c r="P1557" i="99" s="1"/>
  <c r="P1562" i="99"/>
  <c r="L1553" i="99"/>
  <c r="K1553" i="99"/>
  <c r="J1553" i="99"/>
  <c r="I1553" i="99"/>
  <c r="H1553" i="99"/>
  <c r="G1553" i="99"/>
  <c r="AI1550" i="99"/>
  <c r="AH1550" i="99"/>
  <c r="AF1550" i="99"/>
  <c r="AB1550" i="99"/>
  <c r="AI1549" i="99"/>
  <c r="AH1549" i="99"/>
  <c r="AG1549" i="99"/>
  <c r="AF1549" i="99"/>
  <c r="AC1549" i="99"/>
  <c r="AB1549" i="99"/>
  <c r="AA1549" i="99"/>
  <c r="Z1549" i="99"/>
  <c r="AG1543" i="99"/>
  <c r="AD1543" i="99"/>
  <c r="AB1543" i="99"/>
  <c r="P1540" i="99"/>
  <c r="AT1539" i="99"/>
  <c r="P1537" i="99"/>
  <c r="P1536" i="99"/>
  <c r="P1535" i="99"/>
  <c r="AD1532"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N1443" i="99" s="1"/>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K853" i="99"/>
  <c r="J853" i="99"/>
  <c r="I853" i="99"/>
  <c r="H853" i="99"/>
  <c r="H854" i="99" s="1"/>
  <c r="L852" i="99"/>
  <c r="L854" i="99" s="1"/>
  <c r="K852" i="99"/>
  <c r="K854" i="99" s="1"/>
  <c r="J852" i="99"/>
  <c r="I852" i="99"/>
  <c r="H852" i="99"/>
  <c r="L849" i="99"/>
  <c r="K849" i="99"/>
  <c r="K850" i="99" s="1"/>
  <c r="J849" i="99"/>
  <c r="J850" i="99" s="1"/>
  <c r="I849" i="99"/>
  <c r="I850" i="99" s="1"/>
  <c r="H849" i="99"/>
  <c r="L848" i="99"/>
  <c r="K848" i="99"/>
  <c r="J848" i="99"/>
  <c r="I848" i="99"/>
  <c r="H848" i="99"/>
  <c r="Q844" i="99"/>
  <c r="P844" i="99"/>
  <c r="O844" i="99"/>
  <c r="O845" i="99" s="1"/>
  <c r="N844" i="99"/>
  <c r="M844" i="99"/>
  <c r="L844" i="99"/>
  <c r="K844" i="99"/>
  <c r="J844" i="99"/>
  <c r="I844" i="99"/>
  <c r="H844" i="99"/>
  <c r="H845" i="99" s="1"/>
  <c r="Q843" i="99"/>
  <c r="P843" i="99"/>
  <c r="O843" i="99"/>
  <c r="N843" i="99"/>
  <c r="M843" i="99"/>
  <c r="L843" i="99"/>
  <c r="L845" i="99" s="1"/>
  <c r="K843" i="99"/>
  <c r="K845" i="99" s="1"/>
  <c r="J843" i="99"/>
  <c r="I843" i="99"/>
  <c r="H843" i="99"/>
  <c r="Q840" i="99"/>
  <c r="P840" i="99"/>
  <c r="O840" i="99"/>
  <c r="N840" i="99"/>
  <c r="M840" i="99"/>
  <c r="L840" i="99"/>
  <c r="K840" i="99"/>
  <c r="K841" i="99" s="1"/>
  <c r="J840" i="99"/>
  <c r="I840" i="99"/>
  <c r="H840" i="99"/>
  <c r="Q839" i="99"/>
  <c r="Q841" i="99" s="1"/>
  <c r="P839" i="99"/>
  <c r="P841" i="99" s="1"/>
  <c r="O839" i="99"/>
  <c r="O841" i="99" s="1"/>
  <c r="N839" i="99"/>
  <c r="M839" i="99"/>
  <c r="L839" i="99"/>
  <c r="K839" i="99"/>
  <c r="J839" i="99"/>
  <c r="I839" i="99"/>
  <c r="I841" i="99" s="1"/>
  <c r="H839" i="99"/>
  <c r="H841" i="99" s="1"/>
  <c r="Q835" i="99"/>
  <c r="P835" i="99"/>
  <c r="O835" i="99"/>
  <c r="O836" i="99" s="1"/>
  <c r="N835" i="99"/>
  <c r="M835" i="99"/>
  <c r="L835" i="99"/>
  <c r="K835" i="99"/>
  <c r="J835" i="99"/>
  <c r="I835" i="99"/>
  <c r="H835" i="99"/>
  <c r="Q834" i="99"/>
  <c r="P834" i="99"/>
  <c r="O834" i="99"/>
  <c r="N834" i="99"/>
  <c r="M834" i="99"/>
  <c r="M836" i="99" s="1"/>
  <c r="L834" i="99"/>
  <c r="L836" i="99" s="1"/>
  <c r="K834" i="99"/>
  <c r="K836" i="99" s="1"/>
  <c r="J834" i="99"/>
  <c r="J836" i="99" s="1"/>
  <c r="I834" i="99"/>
  <c r="H834" i="99"/>
  <c r="Q831" i="99"/>
  <c r="P831" i="99"/>
  <c r="O831" i="99"/>
  <c r="N831" i="99"/>
  <c r="M831" i="99"/>
  <c r="L831" i="99"/>
  <c r="K831" i="99"/>
  <c r="K832" i="99" s="1"/>
  <c r="J831" i="99"/>
  <c r="J832" i="99" s="1"/>
  <c r="I831" i="99"/>
  <c r="H831" i="99"/>
  <c r="Q830" i="99"/>
  <c r="P830" i="99"/>
  <c r="P832" i="99" s="1"/>
  <c r="O830" i="99"/>
  <c r="N830" i="99"/>
  <c r="M830" i="99"/>
  <c r="L830" i="99"/>
  <c r="K830" i="99"/>
  <c r="J830" i="99"/>
  <c r="I830" i="99"/>
  <c r="H830" i="99"/>
  <c r="H832" i="99" s="1"/>
  <c r="Q826" i="99"/>
  <c r="P826" i="99"/>
  <c r="P827" i="99" s="1"/>
  <c r="O826" i="99"/>
  <c r="O827" i="99" s="1"/>
  <c r="N826" i="99"/>
  <c r="N827" i="99" s="1"/>
  <c r="M826" i="99"/>
  <c r="L826" i="99"/>
  <c r="K826" i="99"/>
  <c r="J826" i="99"/>
  <c r="I826" i="99"/>
  <c r="H826" i="99"/>
  <c r="H827" i="99" s="1"/>
  <c r="Q825" i="99"/>
  <c r="P825" i="99"/>
  <c r="O825" i="99"/>
  <c r="N825" i="99"/>
  <c r="M825" i="99"/>
  <c r="L825" i="99"/>
  <c r="K825" i="99"/>
  <c r="K827" i="99" s="1"/>
  <c r="J825" i="99"/>
  <c r="I825" i="99"/>
  <c r="H825" i="99"/>
  <c r="Q822" i="99"/>
  <c r="P822" i="99"/>
  <c r="Q821" i="99"/>
  <c r="Q823" i="99" s="1"/>
  <c r="P821" i="99"/>
  <c r="P823" i="99" s="1"/>
  <c r="O822" i="99"/>
  <c r="N822" i="99"/>
  <c r="O821" i="99"/>
  <c r="N821" i="99"/>
  <c r="M822" i="99"/>
  <c r="L822" i="99"/>
  <c r="M821" i="99"/>
  <c r="L821" i="99"/>
  <c r="L823" i="99" s="1"/>
  <c r="K822" i="99"/>
  <c r="J822" i="99"/>
  <c r="K821" i="99"/>
  <c r="J821" i="99"/>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KZ683" i="99" s="1"/>
  <c r="B683" i="99"/>
  <c r="Q682" i="99"/>
  <c r="KO682" i="99" s="1"/>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KF676" i="99" s="1"/>
  <c r="N676" i="99"/>
  <c r="K676" i="99"/>
  <c r="I676" i="99"/>
  <c r="H676" i="99"/>
  <c r="G676" i="99"/>
  <c r="F676" i="99"/>
  <c r="E676" i="99"/>
  <c r="D676" i="99"/>
  <c r="C676" i="99"/>
  <c r="B676" i="99"/>
  <c r="Q675" i="99"/>
  <c r="P675" i="99"/>
  <c r="O675" i="99"/>
  <c r="N675" i="99"/>
  <c r="K675" i="99"/>
  <c r="I675" i="99"/>
  <c r="H675" i="99"/>
  <c r="G675" i="99"/>
  <c r="F675" i="99"/>
  <c r="E675" i="99"/>
  <c r="D675" i="99"/>
  <c r="C675" i="99"/>
  <c r="KZ675" i="99" s="1"/>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EQ673" i="99" s="1"/>
  <c r="B673" i="99"/>
  <c r="Q672" i="99"/>
  <c r="P672" i="99"/>
  <c r="O672" i="99"/>
  <c r="N672" i="99"/>
  <c r="K672" i="99"/>
  <c r="I672" i="99"/>
  <c r="H672" i="99"/>
  <c r="G672" i="99"/>
  <c r="F672" i="99"/>
  <c r="E672" i="99"/>
  <c r="D672" i="99"/>
  <c r="C672" i="99"/>
  <c r="B672" i="99"/>
  <c r="Q671" i="99"/>
  <c r="P671" i="99"/>
  <c r="HY671" i="99" s="1"/>
  <c r="O671" i="99"/>
  <c r="N671" i="99"/>
  <c r="K671" i="99"/>
  <c r="I671" i="99"/>
  <c r="H671" i="99"/>
  <c r="G671" i="99"/>
  <c r="F671" i="99"/>
  <c r="E671" i="99"/>
  <c r="D671" i="99"/>
  <c r="C671" i="99"/>
  <c r="B671" i="99"/>
  <c r="Q670" i="99"/>
  <c r="P670" i="99"/>
  <c r="O670" i="99"/>
  <c r="KI670" i="99" s="1"/>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KH668" i="99" s="1"/>
  <c r="N668" i="99"/>
  <c r="K668" i="99"/>
  <c r="I668" i="99"/>
  <c r="H668" i="99"/>
  <c r="G668" i="99"/>
  <c r="F668" i="99"/>
  <c r="E668" i="99"/>
  <c r="D668" i="99"/>
  <c r="C668" i="99"/>
  <c r="B668" i="99"/>
  <c r="Q667" i="99"/>
  <c r="P667" i="99"/>
  <c r="O667" i="99"/>
  <c r="N667" i="99"/>
  <c r="K667" i="99"/>
  <c r="I667" i="99"/>
  <c r="H667" i="99"/>
  <c r="G667" i="99"/>
  <c r="F667" i="99"/>
  <c r="E667" i="99"/>
  <c r="D667" i="99"/>
  <c r="C667" i="99"/>
  <c r="MQ667" i="99" s="1"/>
  <c r="B667" i="99"/>
  <c r="Q666" i="99"/>
  <c r="KG666" i="99" s="1"/>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GC665" i="99" s="1"/>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HF660" i="99" s="1"/>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IV654" i="99" s="1"/>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JN653" i="99" s="1"/>
  <c r="B653" i="99"/>
  <c r="Q652" i="99"/>
  <c r="P652" i="99"/>
  <c r="O652" i="99"/>
  <c r="N652" i="99"/>
  <c r="K652" i="99"/>
  <c r="J652" i="99"/>
  <c r="I652" i="99"/>
  <c r="H652" i="99"/>
  <c r="G652" i="99"/>
  <c r="F652" i="99"/>
  <c r="E652" i="99"/>
  <c r="D652" i="99"/>
  <c r="C652" i="99"/>
  <c r="B652" i="99"/>
  <c r="Q651" i="99"/>
  <c r="LD651" i="99" s="1"/>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S856" i="99"/>
  <c r="S851" i="99"/>
  <c r="L850" i="99"/>
  <c r="T847" i="99"/>
  <c r="S842" i="99"/>
  <c r="T838" i="99"/>
  <c r="N836" i="99"/>
  <c r="S833" i="99"/>
  <c r="Q832" i="99"/>
  <c r="I832" i="99"/>
  <c r="T829" i="99"/>
  <c r="M827" i="99"/>
  <c r="L827" i="99"/>
  <c r="S824" i="99"/>
  <c r="M823" i="99"/>
  <c r="I823" i="99"/>
  <c r="S820" i="99"/>
  <c r="S819" i="99"/>
  <c r="S817" i="99"/>
  <c r="S794" i="99"/>
  <c r="S784" i="99"/>
  <c r="S783" i="99"/>
  <c r="L783" i="99"/>
  <c r="S764" i="99"/>
  <c r="S750" i="99"/>
  <c r="S741" i="99"/>
  <c r="S740" i="99"/>
  <c r="L740" i="99"/>
  <c r="S730" i="99"/>
  <c r="S707" i="99"/>
  <c r="S691" i="99"/>
  <c r="MU687" i="99"/>
  <c r="MO685" i="99"/>
  <c r="MN685" i="99"/>
  <c r="KI685" i="99"/>
  <c r="JC685" i="99"/>
  <c r="ID685" i="99"/>
  <c r="IC685" i="99"/>
  <c r="IB685" i="99"/>
  <c r="IA685" i="99"/>
  <c r="HZ685" i="99"/>
  <c r="GF685" i="99"/>
  <c r="GD685" i="99"/>
  <c r="GC685" i="99"/>
  <c r="GB685" i="99"/>
  <c r="FZ685" i="99"/>
  <c r="FY685" i="99"/>
  <c r="FX685" i="99"/>
  <c r="EH685" i="99"/>
  <c r="EG685" i="99"/>
  <c r="EF685" i="99"/>
  <c r="EE685" i="99"/>
  <c r="ED685" i="99"/>
  <c r="CQ685" i="99"/>
  <c r="MO683" i="99"/>
  <c r="MI683" i="99"/>
  <c r="MG683" i="99"/>
  <c r="LB683" i="99"/>
  <c r="KT683" i="99"/>
  <c r="KJ683" i="99"/>
  <c r="KD683" i="99"/>
  <c r="KB683" i="99"/>
  <c r="JV683" i="99"/>
  <c r="JN683" i="99"/>
  <c r="JD683" i="99"/>
  <c r="IX683" i="99"/>
  <c r="IV683" i="99"/>
  <c r="IP683" i="99"/>
  <c r="IH683" i="99"/>
  <c r="GE683" i="99"/>
  <c r="EF683" i="99"/>
  <c r="ED683" i="99"/>
  <c r="MO682" i="99"/>
  <c r="MN682" i="99"/>
  <c r="MM682" i="99"/>
  <c r="ML682" i="99"/>
  <c r="MK682" i="99"/>
  <c r="MJ682" i="99"/>
  <c r="LZ682" i="99"/>
  <c r="LO682" i="99"/>
  <c r="KW682" i="99"/>
  <c r="JQ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LT681" i="99"/>
  <c r="EI681" i="99"/>
  <c r="DE681" i="99"/>
  <c r="MR680" i="99"/>
  <c r="MQ680" i="99"/>
  <c r="MO680" i="99"/>
  <c r="MN680" i="99"/>
  <c r="MM680" i="99"/>
  <c r="ML680" i="99"/>
  <c r="MK680" i="99"/>
  <c r="MJ680" i="99"/>
  <c r="MI680" i="99"/>
  <c r="LC680" i="99"/>
  <c r="LB680" i="99"/>
  <c r="KU680" i="99"/>
  <c r="KT680" i="99"/>
  <c r="KM680" i="99"/>
  <c r="KL680" i="99"/>
  <c r="KE680" i="99"/>
  <c r="KD680" i="99"/>
  <c r="JW680" i="99"/>
  <c r="JV680" i="99"/>
  <c r="JO680" i="99"/>
  <c r="JN680" i="99"/>
  <c r="JG680" i="99"/>
  <c r="JF680" i="99"/>
  <c r="IY680" i="99"/>
  <c r="IX680" i="99"/>
  <c r="IQ680" i="99"/>
  <c r="IP680" i="99"/>
  <c r="II680" i="99"/>
  <c r="IH680" i="99"/>
  <c r="ID680" i="99"/>
  <c r="IC680" i="99"/>
  <c r="IB680" i="99"/>
  <c r="IA680" i="99"/>
  <c r="HZ680" i="99"/>
  <c r="GD679" i="99"/>
  <c r="GC679" i="99"/>
  <c r="EH679" i="99"/>
  <c r="EG679" i="99"/>
  <c r="MQ677" i="99"/>
  <c r="MO677" i="99"/>
  <c r="MN677" i="99"/>
  <c r="MM677" i="99"/>
  <c r="LN677" i="99"/>
  <c r="LC677" i="99"/>
  <c r="LA677" i="99"/>
  <c r="KQ677" i="99"/>
  <c r="KM677" i="99"/>
  <c r="KC677" i="99"/>
  <c r="KB677" i="99"/>
  <c r="JS677" i="99"/>
  <c r="JR677" i="99"/>
  <c r="JK677" i="99"/>
  <c r="JJ677" i="99"/>
  <c r="JC677" i="99"/>
  <c r="JB677" i="99"/>
  <c r="IU677" i="99"/>
  <c r="IT677" i="99"/>
  <c r="IM677" i="99"/>
  <c r="IL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IZ676" i="99"/>
  <c r="AI676" i="99"/>
  <c r="MQ675" i="99"/>
  <c r="MO675" i="99"/>
  <c r="MI675" i="99"/>
  <c r="MG675" i="99"/>
  <c r="LB675" i="99"/>
  <c r="KT675" i="99"/>
  <c r="KR675" i="99"/>
  <c r="KL675" i="99"/>
  <c r="KJ675" i="99"/>
  <c r="KD675" i="99"/>
  <c r="KB675" i="99"/>
  <c r="JV675" i="99"/>
  <c r="JN675" i="99"/>
  <c r="JL675" i="99"/>
  <c r="JF675" i="99"/>
  <c r="JD675" i="99"/>
  <c r="IX675" i="99"/>
  <c r="IV675" i="99"/>
  <c r="IP675" i="99"/>
  <c r="IH675" i="99"/>
  <c r="IF675" i="99"/>
  <c r="HZ675" i="99"/>
  <c r="GE675" i="99"/>
  <c r="EF675" i="99"/>
  <c r="ED675" i="99"/>
  <c r="MO674" i="99"/>
  <c r="LO674" i="99"/>
  <c r="KM674" i="99"/>
  <c r="JV674" i="99"/>
  <c r="ID674" i="99"/>
  <c r="IC674" i="99"/>
  <c r="IB674" i="99"/>
  <c r="IA674" i="99"/>
  <c r="HZ674" i="99"/>
  <c r="GA674" i="99"/>
  <c r="FK674" i="99"/>
  <c r="EU674" i="99"/>
  <c r="EE674" i="99"/>
  <c r="DO674" i="99"/>
  <c r="CY674" i="99"/>
  <c r="CI674" i="99"/>
  <c r="BS674" i="99"/>
  <c r="BC674" i="99"/>
  <c r="AQ674" i="99"/>
  <c r="AI674" i="99"/>
  <c r="AA674" i="99"/>
  <c r="LS673" i="99"/>
  <c r="GE673" i="99"/>
  <c r="GC673" i="99"/>
  <c r="FN673" i="99"/>
  <c r="DW673" i="99"/>
  <c r="DM673" i="99"/>
  <c r="CG673" i="99"/>
  <c r="BY673" i="99"/>
  <c r="AS673" i="99"/>
  <c r="AC673" i="99"/>
  <c r="MT672" i="99"/>
  <c r="MS672" i="99"/>
  <c r="MR672" i="99"/>
  <c r="MQ672" i="99"/>
  <c r="MP672" i="99"/>
  <c r="MO672" i="99"/>
  <c r="MN672" i="99"/>
  <c r="MM672" i="99"/>
  <c r="ML672" i="99"/>
  <c r="MK672" i="99"/>
  <c r="MJ672" i="99"/>
  <c r="MI672" i="99"/>
  <c r="MH672" i="99"/>
  <c r="MG672" i="99"/>
  <c r="MF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MO671" i="99"/>
  <c r="KZ671" i="99"/>
  <c r="ID671" i="99"/>
  <c r="IC671" i="99"/>
  <c r="IB671" i="99"/>
  <c r="IA671" i="99"/>
  <c r="HZ671" i="99"/>
  <c r="GD671" i="99"/>
  <c r="GC671" i="99"/>
  <c r="FX671" i="99"/>
  <c r="FI671" i="99"/>
  <c r="EG671" i="99"/>
  <c r="EF671" i="99"/>
  <c r="DD671" i="99"/>
  <c r="BP671" i="99"/>
  <c r="AE671" i="99"/>
  <c r="JS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LN668" i="99"/>
  <c r="LF668" i="99"/>
  <c r="LD668" i="99"/>
  <c r="KV668" i="99"/>
  <c r="KT668" i="99"/>
  <c r="KL668" i="99"/>
  <c r="JZ668" i="99"/>
  <c r="JX668" i="99"/>
  <c r="JP668" i="99"/>
  <c r="JN668" i="99"/>
  <c r="JF668" i="99"/>
  <c r="JB668" i="99"/>
  <c r="IT668" i="99"/>
  <c r="IJ668" i="99"/>
  <c r="IH668" i="99"/>
  <c r="HZ668" i="99"/>
  <c r="FZ668" i="99"/>
  <c r="FM668" i="99"/>
  <c r="EX668" i="99"/>
  <c r="EJ668" i="99"/>
  <c r="DV668" i="99"/>
  <c r="DH668" i="99"/>
  <c r="CS668" i="99"/>
  <c r="CF668" i="99"/>
  <c r="BQ668" i="99"/>
  <c r="BB668" i="99"/>
  <c r="AO668" i="99"/>
  <c r="Z668" i="99"/>
  <c r="MO667" i="99"/>
  <c r="MI667" i="99"/>
  <c r="MG667" i="99"/>
  <c r="LB667" i="99"/>
  <c r="KZ667" i="99"/>
  <c r="KT667" i="99"/>
  <c r="KR667" i="99"/>
  <c r="KJ667" i="99"/>
  <c r="KD667" i="99"/>
  <c r="KB667" i="99"/>
  <c r="JV667" i="99"/>
  <c r="JT667" i="99"/>
  <c r="JN667" i="99"/>
  <c r="JL667" i="99"/>
  <c r="JD667" i="99"/>
  <c r="IX667" i="99"/>
  <c r="IV667" i="99"/>
  <c r="IP667" i="99"/>
  <c r="IN667" i="99"/>
  <c r="IH667" i="99"/>
  <c r="IF667" i="99"/>
  <c r="GD667" i="99"/>
  <c r="ED667" i="99"/>
  <c r="MS666" i="99"/>
  <c r="MO666" i="99"/>
  <c r="MN666" i="99"/>
  <c r="MM666" i="99"/>
  <c r="ML666" i="99"/>
  <c r="MK666" i="99"/>
  <c r="LQ666" i="99"/>
  <c r="LE666" i="99"/>
  <c r="KY666" i="99"/>
  <c r="KW666" i="99"/>
  <c r="KQ666" i="99"/>
  <c r="KO666" i="99"/>
  <c r="KI666" i="99"/>
  <c r="KA666" i="99"/>
  <c r="JY666" i="99"/>
  <c r="JS666" i="99"/>
  <c r="JQ666" i="99"/>
  <c r="JK666" i="99"/>
  <c r="JI666" i="99"/>
  <c r="JC666" i="99"/>
  <c r="IU666" i="99"/>
  <c r="IS666" i="99"/>
  <c r="IM666" i="99"/>
  <c r="IK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LZ665" i="99"/>
  <c r="HY665" i="99"/>
  <c r="GE665" i="99"/>
  <c r="FW665" i="99"/>
  <c r="FH665" i="99"/>
  <c r="EE665" i="99"/>
  <c r="ED665" i="99"/>
  <c r="EB665" i="99"/>
  <c r="CB665" i="99"/>
  <c r="BW665" i="99"/>
  <c r="BG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O663" i="99"/>
  <c r="MN663" i="99"/>
  <c r="MM663" i="99"/>
  <c r="MK663" i="99"/>
  <c r="IC663" i="99"/>
  <c r="IB663" i="99"/>
  <c r="IA663" i="99"/>
  <c r="GF663" i="99"/>
  <c r="GE663" i="99"/>
  <c r="GC663" i="99"/>
  <c r="GB663" i="99"/>
  <c r="GA663" i="99"/>
  <c r="FY663" i="99"/>
  <c r="FX663" i="99"/>
  <c r="FW663" i="99"/>
  <c r="EG663" i="99"/>
  <c r="EF663" i="99"/>
  <c r="EE663"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E661" i="99"/>
  <c r="GD661" i="99"/>
  <c r="GB661" i="99"/>
  <c r="GA661" i="99"/>
  <c r="FW661" i="99"/>
  <c r="EH661" i="99"/>
  <c r="EF661" i="99"/>
  <c r="EE661" i="99"/>
  <c r="MO660" i="99"/>
  <c r="LK660" i="99"/>
  <c r="LE660" i="99"/>
  <c r="KW660" i="99"/>
  <c r="KO660" i="99"/>
  <c r="KG660" i="99"/>
  <c r="JY660" i="99"/>
  <c r="JQ660" i="99"/>
  <c r="JI660" i="99"/>
  <c r="JA660" i="99"/>
  <c r="IS660" i="99"/>
  <c r="IK660" i="99"/>
  <c r="ID660" i="99"/>
  <c r="IC660" i="99"/>
  <c r="IA660" i="99"/>
  <c r="HZ660" i="99"/>
  <c r="FZ660" i="99"/>
  <c r="ET660" i="99"/>
  <c r="DN660" i="99"/>
  <c r="CH660" i="99"/>
  <c r="BJ660" i="99"/>
  <c r="AO660" i="99"/>
  <c r="MO659" i="99"/>
  <c r="MG659" i="99"/>
  <c r="KZ659" i="99"/>
  <c r="KR659" i="99"/>
  <c r="KJ659" i="99"/>
  <c r="KB659" i="99"/>
  <c r="JT659" i="99"/>
  <c r="JL659" i="99"/>
  <c r="JD659" i="99"/>
  <c r="IV659" i="99"/>
  <c r="IN659" i="99"/>
  <c r="IF659" i="99"/>
  <c r="GF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C657" i="99"/>
  <c r="LW657" i="99"/>
  <c r="LR657" i="99"/>
  <c r="LM657" i="99"/>
  <c r="LG657" i="99"/>
  <c r="IU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MO655" i="99"/>
  <c r="MN655" i="99"/>
  <c r="MM655" i="99"/>
  <c r="ML655" i="99"/>
  <c r="MK655" i="99"/>
  <c r="LE655" i="99"/>
  <c r="IR655" i="99"/>
  <c r="ID655" i="99"/>
  <c r="IC655" i="99"/>
  <c r="IB655" i="99"/>
  <c r="IA655" i="99"/>
  <c r="HZ655" i="99"/>
  <c r="HN655" i="99"/>
  <c r="GF655" i="99"/>
  <c r="GD655" i="99"/>
  <c r="GC655" i="99"/>
  <c r="GB655" i="99"/>
  <c r="FZ655" i="99"/>
  <c r="FY655" i="99"/>
  <c r="FX655" i="99"/>
  <c r="EH655" i="99"/>
  <c r="EG655" i="99"/>
  <c r="EF655" i="99"/>
  <c r="EE655" i="99"/>
  <c r="ED655" i="99"/>
  <c r="DO655" i="99"/>
  <c r="BC655" i="99"/>
  <c r="KK654" i="99"/>
  <c r="JR654" i="99"/>
  <c r="GY654" i="99"/>
  <c r="FS654" i="99"/>
  <c r="EX654" i="99"/>
  <c r="EB654" i="99"/>
  <c r="DG654" i="99"/>
  <c r="CL654" i="99"/>
  <c r="BP654" i="99"/>
  <c r="AW654" i="99"/>
  <c r="AG654" i="99"/>
  <c r="LC653" i="99"/>
  <c r="KJ653" i="99"/>
  <c r="HN653" i="99"/>
  <c r="FA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O651" i="99"/>
  <c r="MN651" i="99"/>
  <c r="MM651" i="99"/>
  <c r="ML651" i="99"/>
  <c r="MK651" i="99"/>
  <c r="LQ651" i="99"/>
  <c r="KS651" i="99"/>
  <c r="KQ651" i="99"/>
  <c r="JB651" i="99"/>
  <c r="JA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LU650" i="99"/>
  <c r="LE650" i="99"/>
  <c r="JW650" i="99"/>
  <c r="JN650" i="99"/>
  <c r="IF650" i="99"/>
  <c r="HM650" i="99"/>
  <c r="GW650" i="99"/>
  <c r="GG650" i="99"/>
  <c r="FQ650" i="99"/>
  <c r="FA650" i="99"/>
  <c r="EK650" i="99"/>
  <c r="DU650" i="99"/>
  <c r="DE650" i="99"/>
  <c r="CO650" i="99"/>
  <c r="BY650" i="99"/>
  <c r="BI650" i="99"/>
  <c r="AS650" i="99"/>
  <c r="AD650" i="99"/>
  <c r="MC649" i="99"/>
  <c r="MB649" i="99"/>
  <c r="KL649" i="99"/>
  <c r="KK649" i="99"/>
  <c r="IV649" i="99"/>
  <c r="IU649" i="99"/>
  <c r="HJ649" i="99"/>
  <c r="HI649" i="99"/>
  <c r="FY649" i="99"/>
  <c r="FX649" i="99"/>
  <c r="EP649" i="99"/>
  <c r="EO649" i="99"/>
  <c r="DU649" i="99"/>
  <c r="DO649" i="99"/>
  <c r="CU649" i="99"/>
  <c r="CT649" i="99"/>
  <c r="BU649" i="99"/>
  <c r="BT649" i="99"/>
  <c r="AZ649" i="99"/>
  <c r="AS649" i="99"/>
  <c r="Z649" i="99"/>
  <c r="Y649" i="99"/>
  <c r="L649" i="99"/>
  <c r="M649" i="99" s="1"/>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4" i="99" s="1"/>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U429" i="99" s="1"/>
  <c r="S423" i="99"/>
  <c r="S422" i="99"/>
  <c r="S421" i="99"/>
  <c r="S420" i="99"/>
  <c r="S419" i="99"/>
  <c r="S418" i="99"/>
  <c r="S417" i="99"/>
  <c r="S416" i="99"/>
  <c r="S415" i="99"/>
  <c r="G420" i="99"/>
  <c r="G421" i="99"/>
  <c r="G422" i="99"/>
  <c r="G423" i="99"/>
  <c r="U423" i="99" s="1"/>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M338" i="99" s="1"/>
  <c r="G336" i="99"/>
  <c r="S330" i="99"/>
  <c r="G330" i="99"/>
  <c r="T489" i="99"/>
  <c r="R475" i="99"/>
  <c r="H475" i="99"/>
  <c r="E401" i="99"/>
  <c r="E400" i="99"/>
  <c r="C468" i="99"/>
  <c r="C453" i="99"/>
  <c r="C444" i="99"/>
  <c r="U444" i="99" s="1"/>
  <c r="C429" i="99"/>
  <c r="C423" i="99"/>
  <c r="C422" i="99"/>
  <c r="C412" i="99"/>
  <c r="C395" i="99"/>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P454" i="99"/>
  <c r="W451" i="99"/>
  <c r="O451" i="99"/>
  <c r="V449" i="99"/>
  <c r="V445" i="99"/>
  <c r="W438" i="99"/>
  <c r="O438" i="99"/>
  <c r="AC437" i="99"/>
  <c r="AA437" i="99"/>
  <c r="V437" i="99"/>
  <c r="AC436" i="99"/>
  <c r="AB436" i="99"/>
  <c r="AA436" i="99"/>
  <c r="F436" i="99"/>
  <c r="AG435" i="99"/>
  <c r="AC435" i="99"/>
  <c r="AB435" i="99"/>
  <c r="AA435" i="99"/>
  <c r="F435" i="99"/>
  <c r="AC434" i="99"/>
  <c r="AA434" i="99"/>
  <c r="F434" i="99"/>
  <c r="AC433" i="99"/>
  <c r="AB433" i="99"/>
  <c r="AA433" i="99"/>
  <c r="AG432" i="99"/>
  <c r="AC432" i="99"/>
  <c r="AB432" i="99"/>
  <c r="AA432" i="99"/>
  <c r="F432" i="99"/>
  <c r="W431" i="99"/>
  <c r="O431" i="99"/>
  <c r="E431" i="99"/>
  <c r="E437" i="99" s="1"/>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W347" i="99"/>
  <c r="O347" i="99"/>
  <c r="V346" i="99"/>
  <c r="W339" i="99"/>
  <c r="O339" i="99"/>
  <c r="V338" i="99"/>
  <c r="W335" i="99"/>
  <c r="O335" i="99"/>
  <c r="V334" i="99"/>
  <c r="F330"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51" i="72"/>
  <c r="O1742" i="99" s="1"/>
  <c r="O224" i="72"/>
  <c r="O1715" i="99" s="1"/>
  <c r="R1715" i="99" s="1"/>
  <c r="O204" i="72"/>
  <c r="O1695" i="99" s="1"/>
  <c r="O102" i="72"/>
  <c r="O1593" i="99" s="1"/>
  <c r="P1594" i="99" s="1"/>
  <c r="BQ665" i="99" l="1"/>
  <c r="JA666" i="99"/>
  <c r="HZ667" i="99"/>
  <c r="JF667" i="99"/>
  <c r="KL667" i="99"/>
  <c r="IR668" i="99"/>
  <c r="IN675" i="99"/>
  <c r="JT675" i="99"/>
  <c r="IN683" i="99"/>
  <c r="JT683" i="99"/>
  <c r="AH1542" i="99"/>
  <c r="AG1542" i="99"/>
  <c r="AD1542" i="99"/>
  <c r="AI1548" i="99"/>
  <c r="AH1548" i="99"/>
  <c r="AG1548" i="99"/>
  <c r="AF1548" i="99"/>
  <c r="HN665" i="99"/>
  <c r="GB665" i="99"/>
  <c r="EW665" i="99"/>
  <c r="DQ665" i="99"/>
  <c r="BL665" i="99"/>
  <c r="HD665" i="99"/>
  <c r="GA665" i="99"/>
  <c r="EL665" i="99"/>
  <c r="DF665" i="99"/>
  <c r="GS665" i="99"/>
  <c r="FZ665" i="99"/>
  <c r="EH665" i="99"/>
  <c r="CW665" i="99"/>
  <c r="BA665" i="99"/>
  <c r="GH665" i="99"/>
  <c r="FY665" i="99"/>
  <c r="EG665" i="99"/>
  <c r="CP665" i="99"/>
  <c r="AV665" i="99"/>
  <c r="GF665" i="99"/>
  <c r="FX665" i="99"/>
  <c r="EF665" i="99"/>
  <c r="CH665" i="99"/>
  <c r="AQ665" i="99"/>
  <c r="LP665" i="99"/>
  <c r="GD665" i="99"/>
  <c r="FR665" i="99"/>
  <c r="MR666" i="99"/>
  <c r="MJ666" i="99"/>
  <c r="LD666" i="99"/>
  <c r="KV666" i="99"/>
  <c r="KN666" i="99"/>
  <c r="KF666" i="99"/>
  <c r="JX666" i="99"/>
  <c r="JP666" i="99"/>
  <c r="JH666" i="99"/>
  <c r="IZ666" i="99"/>
  <c r="IR666" i="99"/>
  <c r="IJ666" i="99"/>
  <c r="MQ666" i="99"/>
  <c r="MI666" i="99"/>
  <c r="LC666" i="99"/>
  <c r="KU666" i="99"/>
  <c r="KM666" i="99"/>
  <c r="KE666" i="99"/>
  <c r="JW666" i="99"/>
  <c r="JO666" i="99"/>
  <c r="JG666" i="99"/>
  <c r="IY666" i="99"/>
  <c r="IQ666" i="99"/>
  <c r="II666" i="99"/>
  <c r="MP666" i="99"/>
  <c r="MH666" i="99"/>
  <c r="LB666" i="99"/>
  <c r="KT666" i="99"/>
  <c r="KL666" i="99"/>
  <c r="KD666" i="99"/>
  <c r="JV666" i="99"/>
  <c r="JN666" i="99"/>
  <c r="JF666" i="99"/>
  <c r="IX666" i="99"/>
  <c r="IP666" i="99"/>
  <c r="IH666" i="99"/>
  <c r="MG666" i="99"/>
  <c r="LA666" i="99"/>
  <c r="KS666" i="99"/>
  <c r="KK666" i="99"/>
  <c r="KC666" i="99"/>
  <c r="JU666" i="99"/>
  <c r="JM666" i="99"/>
  <c r="JE666" i="99"/>
  <c r="IW666" i="99"/>
  <c r="IO666" i="99"/>
  <c r="IG666" i="99"/>
  <c r="MF666" i="99"/>
  <c r="KZ666" i="99"/>
  <c r="KR666" i="99"/>
  <c r="KJ666" i="99"/>
  <c r="KB666" i="99"/>
  <c r="JT666" i="99"/>
  <c r="JL666" i="99"/>
  <c r="JD666" i="99"/>
  <c r="IV666" i="99"/>
  <c r="IN666" i="99"/>
  <c r="IF666" i="99"/>
  <c r="MT666" i="99"/>
  <c r="LF666" i="99"/>
  <c r="KX666" i="99"/>
  <c r="KP666" i="99"/>
  <c r="KH666" i="99"/>
  <c r="JZ666" i="99"/>
  <c r="JR666" i="99"/>
  <c r="JJ666" i="99"/>
  <c r="JB666" i="99"/>
  <c r="IT666" i="99"/>
  <c r="IL666" i="99"/>
  <c r="LC668" i="99"/>
  <c r="KS668" i="99"/>
  <c r="KG668" i="99"/>
  <c r="JW668" i="99"/>
  <c r="JM668" i="99"/>
  <c r="JA668" i="99"/>
  <c r="IQ668" i="99"/>
  <c r="IG668" i="99"/>
  <c r="LB668" i="99"/>
  <c r="KP668" i="99"/>
  <c r="KF668" i="99"/>
  <c r="JV668" i="99"/>
  <c r="JJ668" i="99"/>
  <c r="IZ668" i="99"/>
  <c r="IP668" i="99"/>
  <c r="ID668" i="99"/>
  <c r="LA668" i="99"/>
  <c r="KO668" i="99"/>
  <c r="KE668" i="99"/>
  <c r="JU668" i="99"/>
  <c r="JI668" i="99"/>
  <c r="IY668" i="99"/>
  <c r="IO668" i="99"/>
  <c r="IC668" i="99"/>
  <c r="KX668" i="99"/>
  <c r="KN668" i="99"/>
  <c r="KD668" i="99"/>
  <c r="JR668" i="99"/>
  <c r="JH668" i="99"/>
  <c r="IX668" i="99"/>
  <c r="IL668" i="99"/>
  <c r="IB668" i="99"/>
  <c r="KW668" i="99"/>
  <c r="KM668" i="99"/>
  <c r="KC668" i="99"/>
  <c r="JQ668" i="99"/>
  <c r="JG668" i="99"/>
  <c r="IW668" i="99"/>
  <c r="IK668" i="99"/>
  <c r="IA668" i="99"/>
  <c r="LE668" i="99"/>
  <c r="KU668" i="99"/>
  <c r="KK668" i="99"/>
  <c r="JY668" i="99"/>
  <c r="JO668" i="99"/>
  <c r="JE668" i="99"/>
  <c r="IS668" i="99"/>
  <c r="II668" i="99"/>
  <c r="MN671" i="99"/>
  <c r="MM671" i="99"/>
  <c r="ML671" i="99"/>
  <c r="MK671" i="99"/>
  <c r="HW673" i="99"/>
  <c r="GB673" i="99"/>
  <c r="EL673" i="99"/>
  <c r="DI673" i="99"/>
  <c r="BU673" i="99"/>
  <c r="Y673" i="99"/>
  <c r="HO673" i="99"/>
  <c r="FY673" i="99"/>
  <c r="EH673" i="99"/>
  <c r="DE673" i="99"/>
  <c r="BI673" i="99"/>
  <c r="HG673" i="99"/>
  <c r="FX673" i="99"/>
  <c r="EG673" i="99"/>
  <c r="DA673" i="99"/>
  <c r="BE673" i="99"/>
  <c r="GI673" i="99"/>
  <c r="FW673" i="99"/>
  <c r="EF673" i="99"/>
  <c r="CO673" i="99"/>
  <c r="BA673" i="99"/>
  <c r="GF673" i="99"/>
  <c r="FV673" i="99"/>
  <c r="EE673" i="99"/>
  <c r="CK673" i="99"/>
  <c r="AW673" i="99"/>
  <c r="MA673" i="99"/>
  <c r="GD673" i="99"/>
  <c r="FG673" i="99"/>
  <c r="DR673" i="99"/>
  <c r="CC673" i="99"/>
  <c r="AO673" i="99"/>
  <c r="JP674" i="99"/>
  <c r="MG674" i="99"/>
  <c r="JF674" i="99"/>
  <c r="IY674" i="99"/>
  <c r="KU674" i="99"/>
  <c r="IX674" i="99"/>
  <c r="KN674" i="99"/>
  <c r="II674" i="99"/>
  <c r="JX674" i="99"/>
  <c r="IA676" i="99"/>
  <c r="KM676" i="99"/>
  <c r="JG676" i="99"/>
  <c r="LJ681" i="99"/>
  <c r="CW681" i="99"/>
  <c r="HH681" i="99"/>
  <c r="AS681" i="99"/>
  <c r="GX681" i="99"/>
  <c r="AK681" i="99"/>
  <c r="GA681" i="99"/>
  <c r="FZ681" i="99"/>
  <c r="EH681" i="99"/>
  <c r="MR682" i="99"/>
  <c r="MI682" i="99"/>
  <c r="KN682" i="99"/>
  <c r="JH682" i="99"/>
  <c r="MQ682" i="99"/>
  <c r="KG682" i="99"/>
  <c r="JA682" i="99"/>
  <c r="KF682" i="99"/>
  <c r="IZ682" i="99"/>
  <c r="LE682" i="99"/>
  <c r="JY682" i="99"/>
  <c r="IS682" i="99"/>
  <c r="LD682" i="99"/>
  <c r="JX682" i="99"/>
  <c r="IR682" i="99"/>
  <c r="KV682" i="99"/>
  <c r="JP682" i="99"/>
  <c r="IJ682" i="99"/>
  <c r="KR684" i="99"/>
  <c r="JL684" i="99"/>
  <c r="IF684" i="99"/>
  <c r="S334" i="99"/>
  <c r="J445" i="99"/>
  <c r="M351" i="99"/>
  <c r="A382" i="99"/>
  <c r="M402" i="99"/>
  <c r="M346" i="99"/>
  <c r="S430" i="99"/>
  <c r="MN667" i="99"/>
  <c r="MF667" i="99"/>
  <c r="KY667" i="99"/>
  <c r="KQ667" i="99"/>
  <c r="KI667" i="99"/>
  <c r="KA667" i="99"/>
  <c r="JS667" i="99"/>
  <c r="JK667" i="99"/>
  <c r="JC667" i="99"/>
  <c r="IU667" i="99"/>
  <c r="IM667" i="99"/>
  <c r="IE667" i="99"/>
  <c r="GC667" i="99"/>
  <c r="MM667" i="99"/>
  <c r="LF667" i="99"/>
  <c r="KX667" i="99"/>
  <c r="KP667" i="99"/>
  <c r="KH667" i="99"/>
  <c r="JZ667" i="99"/>
  <c r="JR667" i="99"/>
  <c r="JJ667" i="99"/>
  <c r="JB667" i="99"/>
  <c r="IT667" i="99"/>
  <c r="IL667" i="99"/>
  <c r="ID667" i="99"/>
  <c r="GB667" i="99"/>
  <c r="MT667" i="99"/>
  <c r="ML667" i="99"/>
  <c r="LE667" i="99"/>
  <c r="KW667" i="99"/>
  <c r="KO667" i="99"/>
  <c r="KG667" i="99"/>
  <c r="JY667" i="99"/>
  <c r="JQ667" i="99"/>
  <c r="JI667" i="99"/>
  <c r="JA667" i="99"/>
  <c r="IS667" i="99"/>
  <c r="IK667" i="99"/>
  <c r="IC667" i="99"/>
  <c r="EH667" i="99"/>
  <c r="MS667" i="99"/>
  <c r="MK667" i="99"/>
  <c r="LD667" i="99"/>
  <c r="KV667" i="99"/>
  <c r="KN667" i="99"/>
  <c r="KF667" i="99"/>
  <c r="JX667" i="99"/>
  <c r="JP667" i="99"/>
  <c r="JH667" i="99"/>
  <c r="IZ667" i="99"/>
  <c r="IR667" i="99"/>
  <c r="IJ667" i="99"/>
  <c r="IB667" i="99"/>
  <c r="EG667" i="99"/>
  <c r="MR667" i="99"/>
  <c r="MJ667" i="99"/>
  <c r="LC667" i="99"/>
  <c r="KU667" i="99"/>
  <c r="KM667" i="99"/>
  <c r="KE667" i="99"/>
  <c r="JW667" i="99"/>
  <c r="JO667" i="99"/>
  <c r="JG667" i="99"/>
  <c r="IY667" i="99"/>
  <c r="IQ667" i="99"/>
  <c r="II667" i="99"/>
  <c r="IA667" i="99"/>
  <c r="EF667" i="99"/>
  <c r="MP667" i="99"/>
  <c r="MH667" i="99"/>
  <c r="LA667" i="99"/>
  <c r="KS667" i="99"/>
  <c r="KK667" i="99"/>
  <c r="KC667" i="99"/>
  <c r="JU667" i="99"/>
  <c r="JM667" i="99"/>
  <c r="JE667" i="99"/>
  <c r="IW667" i="99"/>
  <c r="IO667" i="99"/>
  <c r="IG667" i="99"/>
  <c r="GF667" i="99"/>
  <c r="LZ672" i="99"/>
  <c r="EL672" i="99"/>
  <c r="MN675" i="99"/>
  <c r="MF675" i="99"/>
  <c r="KY675" i="99"/>
  <c r="KQ675" i="99"/>
  <c r="KI675" i="99"/>
  <c r="KA675" i="99"/>
  <c r="JS675" i="99"/>
  <c r="JK675" i="99"/>
  <c r="JC675" i="99"/>
  <c r="IU675" i="99"/>
  <c r="IM675" i="99"/>
  <c r="IE675" i="99"/>
  <c r="GD675" i="99"/>
  <c r="MM675" i="99"/>
  <c r="LF675" i="99"/>
  <c r="KX675" i="99"/>
  <c r="KP675" i="99"/>
  <c r="KH675" i="99"/>
  <c r="JZ675" i="99"/>
  <c r="JR675" i="99"/>
  <c r="JJ675" i="99"/>
  <c r="JB675" i="99"/>
  <c r="IT675" i="99"/>
  <c r="IL675" i="99"/>
  <c r="ID675" i="99"/>
  <c r="GC675" i="99"/>
  <c r="MT675" i="99"/>
  <c r="ML675" i="99"/>
  <c r="LE675" i="99"/>
  <c r="KW675" i="99"/>
  <c r="KO675" i="99"/>
  <c r="KG675" i="99"/>
  <c r="JY675" i="99"/>
  <c r="JQ675" i="99"/>
  <c r="JI675" i="99"/>
  <c r="JA675" i="99"/>
  <c r="IS675" i="99"/>
  <c r="IK675" i="99"/>
  <c r="IC675" i="99"/>
  <c r="GB675" i="99"/>
  <c r="MS675" i="99"/>
  <c r="MK675" i="99"/>
  <c r="LD675" i="99"/>
  <c r="KV675" i="99"/>
  <c r="KN675" i="99"/>
  <c r="KF675" i="99"/>
  <c r="JX675" i="99"/>
  <c r="JP675" i="99"/>
  <c r="JH675" i="99"/>
  <c r="IZ675" i="99"/>
  <c r="IR675" i="99"/>
  <c r="IJ675" i="99"/>
  <c r="IB675" i="99"/>
  <c r="EH675" i="99"/>
  <c r="MR675" i="99"/>
  <c r="MJ675" i="99"/>
  <c r="LC675" i="99"/>
  <c r="KU675" i="99"/>
  <c r="KM675" i="99"/>
  <c r="KE675" i="99"/>
  <c r="JW675" i="99"/>
  <c r="JO675" i="99"/>
  <c r="JG675" i="99"/>
  <c r="IY675" i="99"/>
  <c r="IQ675" i="99"/>
  <c r="II675" i="99"/>
  <c r="IA675" i="99"/>
  <c r="EG675" i="99"/>
  <c r="MP675" i="99"/>
  <c r="MH675" i="99"/>
  <c r="LA675" i="99"/>
  <c r="KS675" i="99"/>
  <c r="KK675" i="99"/>
  <c r="KC675" i="99"/>
  <c r="JU675" i="99"/>
  <c r="JM675" i="99"/>
  <c r="JE675" i="99"/>
  <c r="IW675" i="99"/>
  <c r="IO675" i="99"/>
  <c r="IG675" i="99"/>
  <c r="GF675" i="99"/>
  <c r="EE675" i="99"/>
  <c r="MN683" i="99"/>
  <c r="MF683" i="99"/>
  <c r="KY683" i="99"/>
  <c r="KQ683" i="99"/>
  <c r="KI683" i="99"/>
  <c r="KA683" i="99"/>
  <c r="JS683" i="99"/>
  <c r="JK683" i="99"/>
  <c r="JC683" i="99"/>
  <c r="IU683" i="99"/>
  <c r="IM683" i="99"/>
  <c r="IE683" i="99"/>
  <c r="GD683" i="99"/>
  <c r="MM683" i="99"/>
  <c r="LF683" i="99"/>
  <c r="KX683" i="99"/>
  <c r="KP683" i="99"/>
  <c r="KH683" i="99"/>
  <c r="JZ683" i="99"/>
  <c r="JR683" i="99"/>
  <c r="JJ683" i="99"/>
  <c r="JB683" i="99"/>
  <c r="IT683" i="99"/>
  <c r="IL683" i="99"/>
  <c r="ID683" i="99"/>
  <c r="GC683" i="99"/>
  <c r="MT683" i="99"/>
  <c r="ML683" i="99"/>
  <c r="LE683" i="99"/>
  <c r="KW683" i="99"/>
  <c r="KO683" i="99"/>
  <c r="KG683" i="99"/>
  <c r="JY683" i="99"/>
  <c r="JQ683" i="99"/>
  <c r="JI683" i="99"/>
  <c r="JA683" i="99"/>
  <c r="IS683" i="99"/>
  <c r="IK683" i="99"/>
  <c r="IC683" i="99"/>
  <c r="GB683" i="99"/>
  <c r="MS683" i="99"/>
  <c r="MK683" i="99"/>
  <c r="LD683" i="99"/>
  <c r="KV683" i="99"/>
  <c r="KN683" i="99"/>
  <c r="KF683" i="99"/>
  <c r="JX683" i="99"/>
  <c r="JP683" i="99"/>
  <c r="JH683" i="99"/>
  <c r="IZ683" i="99"/>
  <c r="IR683" i="99"/>
  <c r="IJ683" i="99"/>
  <c r="IB683" i="99"/>
  <c r="EH683" i="99"/>
  <c r="MR683" i="99"/>
  <c r="MJ683" i="99"/>
  <c r="LC683" i="99"/>
  <c r="KU683" i="99"/>
  <c r="KM683" i="99"/>
  <c r="KE683" i="99"/>
  <c r="JW683" i="99"/>
  <c r="JO683" i="99"/>
  <c r="JG683" i="99"/>
  <c r="IY683" i="99"/>
  <c r="IQ683" i="99"/>
  <c r="II683" i="99"/>
  <c r="IA683" i="99"/>
  <c r="EG683" i="99"/>
  <c r="MP683" i="99"/>
  <c r="MH683" i="99"/>
  <c r="LA683" i="99"/>
  <c r="KS683" i="99"/>
  <c r="KK683" i="99"/>
  <c r="KC683" i="99"/>
  <c r="JU683" i="99"/>
  <c r="JM683" i="99"/>
  <c r="JE683" i="99"/>
  <c r="IW683" i="99"/>
  <c r="IO683" i="99"/>
  <c r="IG683" i="99"/>
  <c r="GF683" i="99"/>
  <c r="EE683" i="99"/>
  <c r="A429" i="99"/>
  <c r="AD432" i="99"/>
  <c r="AD436" i="99"/>
  <c r="A444" i="99"/>
  <c r="A325" i="99"/>
  <c r="IK682" i="99"/>
  <c r="HZ683" i="99"/>
  <c r="JF683" i="99"/>
  <c r="KL683" i="99"/>
  <c r="MQ683" i="99"/>
  <c r="AI1542" i="99"/>
  <c r="U412" i="99"/>
  <c r="JI682" i="99"/>
  <c r="IF683" i="99"/>
  <c r="JL683" i="99"/>
  <c r="KR683" i="99"/>
  <c r="A651" i="99"/>
  <c r="A657" i="99"/>
  <c r="LE657" i="99"/>
  <c r="FX659" i="99"/>
  <c r="BC662" i="99"/>
  <c r="MS665" i="99"/>
  <c r="H850" i="99"/>
  <c r="G437" i="99"/>
  <c r="AE1530" i="99"/>
  <c r="AD1530" i="99"/>
  <c r="MT649" i="99"/>
  <c r="ML649" i="99"/>
  <c r="MD649" i="99"/>
  <c r="LV649" i="99"/>
  <c r="LN649" i="99"/>
  <c r="LF649" i="99"/>
  <c r="KX649" i="99"/>
  <c r="KP649" i="99"/>
  <c r="KH649" i="99"/>
  <c r="KH687" i="99" s="1"/>
  <c r="K769" i="99" s="1"/>
  <c r="JZ649" i="99"/>
  <c r="JR649" i="99"/>
  <c r="JJ649" i="99"/>
  <c r="JB649" i="99"/>
  <c r="IT649" i="99"/>
  <c r="IL649" i="99"/>
  <c r="ID649" i="99"/>
  <c r="HV649" i="99"/>
  <c r="HN649" i="99"/>
  <c r="HF649" i="99"/>
  <c r="GX649" i="99"/>
  <c r="GP649" i="99"/>
  <c r="GH649" i="99"/>
  <c r="FZ649" i="99"/>
  <c r="FR649" i="99"/>
  <c r="FJ649" i="99"/>
  <c r="FB649" i="99"/>
  <c r="ET649" i="99"/>
  <c r="EL649" i="99"/>
  <c r="ED649" i="99"/>
  <c r="DV649" i="99"/>
  <c r="DN649" i="99"/>
  <c r="DF649" i="99"/>
  <c r="CX649" i="99"/>
  <c r="CP649" i="99"/>
  <c r="CH649" i="99"/>
  <c r="BZ649" i="99"/>
  <c r="BR649" i="99"/>
  <c r="BJ649" i="99"/>
  <c r="BB649" i="99"/>
  <c r="AT649" i="99"/>
  <c r="AL649" i="99"/>
  <c r="AD649" i="99"/>
  <c r="A649" i="99"/>
  <c r="MQ649" i="99"/>
  <c r="MI649" i="99"/>
  <c r="MA649" i="99"/>
  <c r="LS649" i="99"/>
  <c r="LK649" i="99"/>
  <c r="LC649" i="99"/>
  <c r="KU649" i="99"/>
  <c r="KM649" i="99"/>
  <c r="KE649" i="99"/>
  <c r="JW649" i="99"/>
  <c r="JO649" i="99"/>
  <c r="JG649" i="99"/>
  <c r="IY649" i="99"/>
  <c r="IQ649" i="99"/>
  <c r="MK649" i="99"/>
  <c r="LZ649" i="99"/>
  <c r="LP649" i="99"/>
  <c r="LE649" i="99"/>
  <c r="KT649" i="99"/>
  <c r="KJ649" i="99"/>
  <c r="JY649" i="99"/>
  <c r="JN649" i="99"/>
  <c r="JD649" i="99"/>
  <c r="IS649" i="99"/>
  <c r="II649" i="99"/>
  <c r="HZ649" i="99"/>
  <c r="HQ649" i="99"/>
  <c r="HH649" i="99"/>
  <c r="GY649" i="99"/>
  <c r="GO649" i="99"/>
  <c r="GF649" i="99"/>
  <c r="FW649" i="99"/>
  <c r="FN649" i="99"/>
  <c r="FE649" i="99"/>
  <c r="EV649" i="99"/>
  <c r="EM649" i="99"/>
  <c r="EC649" i="99"/>
  <c r="DT649" i="99"/>
  <c r="DK649" i="99"/>
  <c r="DB649" i="99"/>
  <c r="CS649" i="99"/>
  <c r="CJ649" i="99"/>
  <c r="CA649" i="99"/>
  <c r="BQ649" i="99"/>
  <c r="BH649" i="99"/>
  <c r="AY649" i="99"/>
  <c r="AP649" i="99"/>
  <c r="AG649" i="99"/>
  <c r="X649" i="99"/>
  <c r="LT649" i="99"/>
  <c r="IM649" i="99"/>
  <c r="GJ649" i="99"/>
  <c r="MJ649" i="99"/>
  <c r="LY649" i="99"/>
  <c r="LO649" i="99"/>
  <c r="LD649" i="99"/>
  <c r="KS649" i="99"/>
  <c r="KI649" i="99"/>
  <c r="JX649" i="99"/>
  <c r="JM649" i="99"/>
  <c r="JC649" i="99"/>
  <c r="IR649" i="99"/>
  <c r="IH649" i="99"/>
  <c r="HY649" i="99"/>
  <c r="HP649" i="99"/>
  <c r="HG649" i="99"/>
  <c r="GW649" i="99"/>
  <c r="GN649" i="99"/>
  <c r="GE649" i="99"/>
  <c r="FV649" i="99"/>
  <c r="FM649" i="99"/>
  <c r="FD649" i="99"/>
  <c r="EU649" i="99"/>
  <c r="EK649" i="99"/>
  <c r="EB649" i="99"/>
  <c r="DS649" i="99"/>
  <c r="DJ649" i="99"/>
  <c r="DA649" i="99"/>
  <c r="CR649" i="99"/>
  <c r="CI649" i="99"/>
  <c r="BY649" i="99"/>
  <c r="BP649" i="99"/>
  <c r="BG649" i="99"/>
  <c r="AX649" i="99"/>
  <c r="AO649" i="99"/>
  <c r="AF649" i="99"/>
  <c r="MS649" i="99"/>
  <c r="MH649" i="99"/>
  <c r="LX649" i="99"/>
  <c r="LM649" i="99"/>
  <c r="LB649" i="99"/>
  <c r="KR649" i="99"/>
  <c r="KG649" i="99"/>
  <c r="JV649" i="99"/>
  <c r="JL649" i="99"/>
  <c r="JA649" i="99"/>
  <c r="IP649" i="99"/>
  <c r="IG649" i="99"/>
  <c r="HX649" i="99"/>
  <c r="HO649" i="99"/>
  <c r="HE649" i="99"/>
  <c r="GV649" i="99"/>
  <c r="GM649" i="99"/>
  <c r="GD649" i="99"/>
  <c r="FU649" i="99"/>
  <c r="FL649" i="99"/>
  <c r="FC649" i="99"/>
  <c r="ES649" i="99"/>
  <c r="EJ649" i="99"/>
  <c r="EA649" i="99"/>
  <c r="DR649" i="99"/>
  <c r="DI649" i="99"/>
  <c r="CZ649" i="99"/>
  <c r="CQ649" i="99"/>
  <c r="CG649" i="99"/>
  <c r="BX649" i="99"/>
  <c r="BO649" i="99"/>
  <c r="BF649" i="99"/>
  <c r="AW649" i="99"/>
  <c r="AN649" i="99"/>
  <c r="AE649" i="99"/>
  <c r="LI649" i="99"/>
  <c r="HK649" i="99"/>
  <c r="GA649" i="99"/>
  <c r="MR649" i="99"/>
  <c r="MG649" i="99"/>
  <c r="LW649" i="99"/>
  <c r="LL649" i="99"/>
  <c r="LA649" i="99"/>
  <c r="KQ649" i="99"/>
  <c r="KF649" i="99"/>
  <c r="JU649" i="99"/>
  <c r="JK649" i="99"/>
  <c r="IZ649" i="99"/>
  <c r="IZ687" i="99" s="1"/>
  <c r="L778" i="99" s="1"/>
  <c r="IO649" i="99"/>
  <c r="IF649" i="99"/>
  <c r="HW649" i="99"/>
  <c r="HM649" i="99"/>
  <c r="HD649" i="99"/>
  <c r="GU649" i="99"/>
  <c r="GL649" i="99"/>
  <c r="GC649" i="99"/>
  <c r="FT649" i="99"/>
  <c r="FK649" i="99"/>
  <c r="FA649" i="99"/>
  <c r="ER649" i="99"/>
  <c r="EI649" i="99"/>
  <c r="DZ649" i="99"/>
  <c r="DQ649" i="99"/>
  <c r="DH649" i="99"/>
  <c r="CY649" i="99"/>
  <c r="CO649" i="99"/>
  <c r="CF649" i="99"/>
  <c r="BW649" i="99"/>
  <c r="BN649" i="99"/>
  <c r="BE649" i="99"/>
  <c r="AV649" i="99"/>
  <c r="AM649" i="99"/>
  <c r="AC649" i="99"/>
  <c r="MO649" i="99"/>
  <c r="KN649" i="99"/>
  <c r="JS649" i="99"/>
  <c r="IW649" i="99"/>
  <c r="HT649" i="99"/>
  <c r="GS649" i="99"/>
  <c r="FQ649" i="99"/>
  <c r="EY649" i="99"/>
  <c r="MP649" i="99"/>
  <c r="MF649" i="99"/>
  <c r="LU649" i="99"/>
  <c r="LJ649" i="99"/>
  <c r="KZ649" i="99"/>
  <c r="KO649" i="99"/>
  <c r="KD649" i="99"/>
  <c r="JT649" i="99"/>
  <c r="JI649" i="99"/>
  <c r="IX649" i="99"/>
  <c r="IN649" i="99"/>
  <c r="IE649" i="99"/>
  <c r="HU649" i="99"/>
  <c r="HL649" i="99"/>
  <c r="HC649" i="99"/>
  <c r="GT649" i="99"/>
  <c r="GK649" i="99"/>
  <c r="GB649" i="99"/>
  <c r="FS649" i="99"/>
  <c r="FI649" i="99"/>
  <c r="EZ649" i="99"/>
  <c r="EQ649" i="99"/>
  <c r="EH649" i="99"/>
  <c r="DY649" i="99"/>
  <c r="DP649" i="99"/>
  <c r="DG649" i="99"/>
  <c r="CW649" i="99"/>
  <c r="CN649" i="99"/>
  <c r="CE649" i="99"/>
  <c r="BV649" i="99"/>
  <c r="BM649" i="99"/>
  <c r="BD649" i="99"/>
  <c r="AU649" i="99"/>
  <c r="AK649" i="99"/>
  <c r="AB649" i="99"/>
  <c r="ME649" i="99"/>
  <c r="KY649" i="99"/>
  <c r="KC649" i="99"/>
  <c r="JH649" i="99"/>
  <c r="IC649" i="99"/>
  <c r="HB649" i="99"/>
  <c r="FH649" i="99"/>
  <c r="MR650" i="99"/>
  <c r="MJ650" i="99"/>
  <c r="LD650" i="99"/>
  <c r="KV650" i="99"/>
  <c r="KN650" i="99"/>
  <c r="KF650" i="99"/>
  <c r="JX650" i="99"/>
  <c r="JP650" i="99"/>
  <c r="JH650" i="99"/>
  <c r="IZ650" i="99"/>
  <c r="IR650" i="99"/>
  <c r="IJ650" i="99"/>
  <c r="IB650" i="99"/>
  <c r="MO650" i="99"/>
  <c r="MG650" i="99"/>
  <c r="LA650" i="99"/>
  <c r="KS650" i="99"/>
  <c r="KK650" i="99"/>
  <c r="KC650" i="99"/>
  <c r="JU650" i="99"/>
  <c r="JM650" i="99"/>
  <c r="JE650" i="99"/>
  <c r="IW650" i="99"/>
  <c r="IO650" i="99"/>
  <c r="IG650" i="99"/>
  <c r="MK650" i="99"/>
  <c r="LB650" i="99"/>
  <c r="KQ650" i="99"/>
  <c r="KG650" i="99"/>
  <c r="JV650" i="99"/>
  <c r="JK650" i="99"/>
  <c r="JA650" i="99"/>
  <c r="IP650" i="99"/>
  <c r="IE650" i="99"/>
  <c r="MN650" i="99"/>
  <c r="LF650" i="99"/>
  <c r="JZ650" i="99"/>
  <c r="IT650" i="99"/>
  <c r="MT650" i="99"/>
  <c r="MI650" i="99"/>
  <c r="KZ650" i="99"/>
  <c r="KP650" i="99"/>
  <c r="KE650" i="99"/>
  <c r="JT650" i="99"/>
  <c r="JJ650" i="99"/>
  <c r="IY650" i="99"/>
  <c r="IN650" i="99"/>
  <c r="ID650" i="99"/>
  <c r="MS650" i="99"/>
  <c r="MH650" i="99"/>
  <c r="KY650" i="99"/>
  <c r="KO650" i="99"/>
  <c r="KD650" i="99"/>
  <c r="JS650" i="99"/>
  <c r="JI650" i="99"/>
  <c r="IX650" i="99"/>
  <c r="IM650" i="99"/>
  <c r="IC650" i="99"/>
  <c r="MQ650" i="99"/>
  <c r="MF650" i="99"/>
  <c r="KX650" i="99"/>
  <c r="KM650" i="99"/>
  <c r="KB650" i="99"/>
  <c r="JR650" i="99"/>
  <c r="JG650" i="99"/>
  <c r="IV650" i="99"/>
  <c r="IL650" i="99"/>
  <c r="IA650" i="99"/>
  <c r="KJ650" i="99"/>
  <c r="JD650" i="99"/>
  <c r="MP650" i="99"/>
  <c r="KW650" i="99"/>
  <c r="KL650" i="99"/>
  <c r="KA650" i="99"/>
  <c r="JQ650" i="99"/>
  <c r="JF650" i="99"/>
  <c r="IU650" i="99"/>
  <c r="IK650" i="99"/>
  <c r="HZ650" i="99"/>
  <c r="KU650" i="99"/>
  <c r="JO650" i="99"/>
  <c r="II650" i="99"/>
  <c r="MT654" i="99"/>
  <c r="ML654" i="99"/>
  <c r="MS654" i="99"/>
  <c r="MS687" i="99" s="1"/>
  <c r="MK654" i="99"/>
  <c r="MN654" i="99"/>
  <c r="MM654" i="99"/>
  <c r="MJ654" i="99"/>
  <c r="MI654" i="99"/>
  <c r="MR654" i="99"/>
  <c r="MQ654" i="99"/>
  <c r="MP654" i="99"/>
  <c r="MO654" i="99"/>
  <c r="MH654" i="99"/>
  <c r="MQ655" i="99"/>
  <c r="MI655" i="99"/>
  <c r="LB655" i="99"/>
  <c r="KT655" i="99"/>
  <c r="KL655" i="99"/>
  <c r="KD655" i="99"/>
  <c r="JV655" i="99"/>
  <c r="JN655" i="99"/>
  <c r="JF655" i="99"/>
  <c r="IX655" i="99"/>
  <c r="IP655" i="99"/>
  <c r="IH655" i="99"/>
  <c r="MP655" i="99"/>
  <c r="MH655" i="99"/>
  <c r="LA655" i="99"/>
  <c r="KS655" i="99"/>
  <c r="KK655" i="99"/>
  <c r="KC655" i="99"/>
  <c r="JU655" i="99"/>
  <c r="JM655" i="99"/>
  <c r="JE655" i="99"/>
  <c r="IW655" i="99"/>
  <c r="IO655" i="99"/>
  <c r="IG655" i="99"/>
  <c r="KZ655" i="99"/>
  <c r="KP655" i="99"/>
  <c r="KF655" i="99"/>
  <c r="JT655" i="99"/>
  <c r="JJ655" i="99"/>
  <c r="IZ655" i="99"/>
  <c r="IN655" i="99"/>
  <c r="MT655" i="99"/>
  <c r="MJ655" i="99"/>
  <c r="KY655" i="99"/>
  <c r="KO655" i="99"/>
  <c r="KE655" i="99"/>
  <c r="JS655" i="99"/>
  <c r="JI655" i="99"/>
  <c r="IY655" i="99"/>
  <c r="IM655" i="99"/>
  <c r="MS655" i="99"/>
  <c r="MG655" i="99"/>
  <c r="KX655" i="99"/>
  <c r="KN655" i="99"/>
  <c r="KB655" i="99"/>
  <c r="JR655" i="99"/>
  <c r="JH655" i="99"/>
  <c r="IV655" i="99"/>
  <c r="IL655" i="99"/>
  <c r="MR655" i="99"/>
  <c r="MF655" i="99"/>
  <c r="KW655" i="99"/>
  <c r="KM655" i="99"/>
  <c r="KA655" i="99"/>
  <c r="JQ655" i="99"/>
  <c r="JG655" i="99"/>
  <c r="IU655" i="99"/>
  <c r="IK655" i="99"/>
  <c r="LC655" i="99"/>
  <c r="KG655" i="99"/>
  <c r="JK655" i="99"/>
  <c r="IQ655" i="99"/>
  <c r="JP655" i="99"/>
  <c r="KV655" i="99"/>
  <c r="JZ655" i="99"/>
  <c r="JD655" i="99"/>
  <c r="IJ655" i="99"/>
  <c r="KU655" i="99"/>
  <c r="JY655" i="99"/>
  <c r="JC655" i="99"/>
  <c r="II655" i="99"/>
  <c r="KR655" i="99"/>
  <c r="JX655" i="99"/>
  <c r="JB655" i="99"/>
  <c r="IF655" i="99"/>
  <c r="LF655" i="99"/>
  <c r="KJ655" i="99"/>
  <c r="IT655" i="99"/>
  <c r="KQ655" i="99"/>
  <c r="JW655" i="99"/>
  <c r="JA655" i="99"/>
  <c r="IE655" i="99"/>
  <c r="MQ662" i="99"/>
  <c r="MF662" i="99"/>
  <c r="KV662" i="99"/>
  <c r="KK662" i="99"/>
  <c r="KA662" i="99"/>
  <c r="JS662" i="99"/>
  <c r="JK662" i="99"/>
  <c r="JC662" i="99"/>
  <c r="IU662" i="99"/>
  <c r="IM662" i="99"/>
  <c r="IE662" i="99"/>
  <c r="MO662" i="99"/>
  <c r="LE662" i="99"/>
  <c r="KU662" i="99"/>
  <c r="KJ662" i="99"/>
  <c r="JZ662" i="99"/>
  <c r="JR662" i="99"/>
  <c r="JJ662" i="99"/>
  <c r="JB662" i="99"/>
  <c r="IT662" i="99"/>
  <c r="IL662" i="99"/>
  <c r="ID662" i="99"/>
  <c r="MN662" i="99"/>
  <c r="LD662" i="99"/>
  <c r="KS662" i="99"/>
  <c r="KI662" i="99"/>
  <c r="JY662" i="99"/>
  <c r="JQ662" i="99"/>
  <c r="JI662" i="99"/>
  <c r="JA662" i="99"/>
  <c r="IS662" i="99"/>
  <c r="IK662" i="99"/>
  <c r="IC662" i="99"/>
  <c r="MM662" i="99"/>
  <c r="LC662" i="99"/>
  <c r="KR662" i="99"/>
  <c r="KG662" i="99"/>
  <c r="JX662" i="99"/>
  <c r="JP662" i="99"/>
  <c r="JH662" i="99"/>
  <c r="IZ662" i="99"/>
  <c r="IR662" i="99"/>
  <c r="IJ662" i="99"/>
  <c r="IB662" i="99"/>
  <c r="MK662" i="99"/>
  <c r="LA662" i="99"/>
  <c r="KQ662" i="99"/>
  <c r="KF662" i="99"/>
  <c r="JW662" i="99"/>
  <c r="JO662" i="99"/>
  <c r="JG662" i="99"/>
  <c r="IY662" i="99"/>
  <c r="IQ662" i="99"/>
  <c r="II662" i="99"/>
  <c r="IA662" i="99"/>
  <c r="MS662" i="99"/>
  <c r="KO662" i="99"/>
  <c r="JT662" i="99"/>
  <c r="IW662" i="99"/>
  <c r="HZ662" i="99"/>
  <c r="HZ687" i="99" s="1"/>
  <c r="MR662" i="99"/>
  <c r="KN662" i="99"/>
  <c r="JN662" i="99"/>
  <c r="IV662" i="99"/>
  <c r="HF662" i="99"/>
  <c r="MJ662" i="99"/>
  <c r="KM662" i="99"/>
  <c r="JM662" i="99"/>
  <c r="IP662" i="99"/>
  <c r="DY662" i="99"/>
  <c r="MI662" i="99"/>
  <c r="KE662" i="99"/>
  <c r="JL662" i="99"/>
  <c r="IO662" i="99"/>
  <c r="JV662" i="99"/>
  <c r="IG662" i="99"/>
  <c r="JU662" i="99"/>
  <c r="IF662" i="99"/>
  <c r="MG662" i="99"/>
  <c r="JF662" i="99"/>
  <c r="KZ662" i="99"/>
  <c r="JE662" i="99"/>
  <c r="IX662" i="99"/>
  <c r="IN662" i="99"/>
  <c r="IH662" i="99"/>
  <c r="KY662" i="99"/>
  <c r="KW662" i="99"/>
  <c r="KC662" i="99"/>
  <c r="LQ667" i="99"/>
  <c r="GK667" i="99"/>
  <c r="FT667" i="99"/>
  <c r="FE667" i="99"/>
  <c r="ER667" i="99"/>
  <c r="BE667" i="99"/>
  <c r="AP667" i="99"/>
  <c r="HN667" i="99"/>
  <c r="GZ667" i="99"/>
  <c r="MR670" i="99"/>
  <c r="MJ670" i="99"/>
  <c r="LD670" i="99"/>
  <c r="KV670" i="99"/>
  <c r="KN670" i="99"/>
  <c r="KF670" i="99"/>
  <c r="JX670" i="99"/>
  <c r="JP670" i="99"/>
  <c r="JH670" i="99"/>
  <c r="IZ670" i="99"/>
  <c r="IR670" i="99"/>
  <c r="IJ670" i="99"/>
  <c r="IB670" i="99"/>
  <c r="MQ670" i="99"/>
  <c r="MI670" i="99"/>
  <c r="LC670" i="99"/>
  <c r="KU670" i="99"/>
  <c r="KM670" i="99"/>
  <c r="KE670" i="99"/>
  <c r="JW670" i="99"/>
  <c r="JO670" i="99"/>
  <c r="JG670" i="99"/>
  <c r="IY670" i="99"/>
  <c r="IQ670" i="99"/>
  <c r="II670" i="99"/>
  <c r="IA670" i="99"/>
  <c r="MP670" i="99"/>
  <c r="MH670" i="99"/>
  <c r="LB670" i="99"/>
  <c r="KT670" i="99"/>
  <c r="KL670" i="99"/>
  <c r="KD670" i="99"/>
  <c r="JV670" i="99"/>
  <c r="JN670" i="99"/>
  <c r="JF670" i="99"/>
  <c r="IX670" i="99"/>
  <c r="IP670" i="99"/>
  <c r="IH670" i="99"/>
  <c r="HZ670" i="99"/>
  <c r="MO670" i="99"/>
  <c r="MG670" i="99"/>
  <c r="LA670" i="99"/>
  <c r="KS670" i="99"/>
  <c r="KK670" i="99"/>
  <c r="KC670" i="99"/>
  <c r="JU670" i="99"/>
  <c r="JM670" i="99"/>
  <c r="JE670" i="99"/>
  <c r="IW670" i="99"/>
  <c r="IO670" i="99"/>
  <c r="IG670" i="99"/>
  <c r="HL670" i="99"/>
  <c r="MN670" i="99"/>
  <c r="MF670" i="99"/>
  <c r="KZ670" i="99"/>
  <c r="KR670" i="99"/>
  <c r="KJ670" i="99"/>
  <c r="KB670" i="99"/>
  <c r="JT670" i="99"/>
  <c r="JL670" i="99"/>
  <c r="JD670" i="99"/>
  <c r="IV670" i="99"/>
  <c r="IN670" i="99"/>
  <c r="IF670" i="99"/>
  <c r="GB670" i="99"/>
  <c r="LE670" i="99"/>
  <c r="KH670" i="99"/>
  <c r="JK670" i="99"/>
  <c r="IS670" i="99"/>
  <c r="MT670" i="99"/>
  <c r="KY670" i="99"/>
  <c r="KG670" i="99"/>
  <c r="JJ670" i="99"/>
  <c r="IM670" i="99"/>
  <c r="MS670" i="99"/>
  <c r="KX670" i="99"/>
  <c r="KA670" i="99"/>
  <c r="JI670" i="99"/>
  <c r="IL670" i="99"/>
  <c r="MM670" i="99"/>
  <c r="KW670" i="99"/>
  <c r="JZ670" i="99"/>
  <c r="JC670" i="99"/>
  <c r="IK670" i="99"/>
  <c r="ML670" i="99"/>
  <c r="KQ670" i="99"/>
  <c r="JY670" i="99"/>
  <c r="JB670" i="99"/>
  <c r="IE670" i="99"/>
  <c r="JR670" i="99"/>
  <c r="MK670" i="99"/>
  <c r="JQ670" i="99"/>
  <c r="LW670" i="99"/>
  <c r="JA670" i="99"/>
  <c r="LF670" i="99"/>
  <c r="IU670" i="99"/>
  <c r="IT670" i="99"/>
  <c r="ID670" i="99"/>
  <c r="IC670" i="99"/>
  <c r="EZ670" i="99"/>
  <c r="KO670" i="99"/>
  <c r="KP670" i="99"/>
  <c r="BH683" i="99"/>
  <c r="FR683" i="99"/>
  <c r="AX683" i="99"/>
  <c r="FD683" i="99"/>
  <c r="AM683" i="99"/>
  <c r="ET683" i="99"/>
  <c r="AB683" i="99"/>
  <c r="EI683" i="99"/>
  <c r="HV683" i="99"/>
  <c r="GT683" i="99"/>
  <c r="ME683" i="99"/>
  <c r="L1732" i="99"/>
  <c r="X1536" i="99"/>
  <c r="E1732" i="99"/>
  <c r="CB649" i="99"/>
  <c r="EW649" i="99"/>
  <c r="HR649" i="99"/>
  <c r="HS653" i="99"/>
  <c r="KL654" i="99"/>
  <c r="JE657" i="99"/>
  <c r="IM665" i="99"/>
  <c r="AH649" i="99"/>
  <c r="BC649" i="99"/>
  <c r="CC649" i="99"/>
  <c r="DC649" i="99"/>
  <c r="DX649" i="99"/>
  <c r="EX649" i="99"/>
  <c r="GI649" i="99"/>
  <c r="HS649" i="99"/>
  <c r="JF649" i="99"/>
  <c r="KW649" i="99"/>
  <c r="MN649" i="99"/>
  <c r="IQ650" i="99"/>
  <c r="KH650" i="99"/>
  <c r="MM650" i="99"/>
  <c r="JM651" i="99"/>
  <c r="IQ653" i="99"/>
  <c r="MF654" i="99"/>
  <c r="JL655" i="99"/>
  <c r="KG657" i="99"/>
  <c r="MI657" i="99"/>
  <c r="IN665" i="99"/>
  <c r="MQ651" i="99"/>
  <c r="MI651" i="99"/>
  <c r="LC651" i="99"/>
  <c r="KU651" i="99"/>
  <c r="KM651" i="99"/>
  <c r="KE651" i="99"/>
  <c r="JW651" i="99"/>
  <c r="JO651" i="99"/>
  <c r="JG651" i="99"/>
  <c r="IY651" i="99"/>
  <c r="IQ651" i="99"/>
  <c r="II651" i="99"/>
  <c r="MF651" i="99"/>
  <c r="KZ651" i="99"/>
  <c r="KR651" i="99"/>
  <c r="KJ651" i="99"/>
  <c r="KB651" i="99"/>
  <c r="JT651" i="99"/>
  <c r="JL651" i="99"/>
  <c r="JD651" i="99"/>
  <c r="IV651" i="99"/>
  <c r="IN651" i="99"/>
  <c r="IF651" i="99"/>
  <c r="MS651" i="99"/>
  <c r="MJ651" i="99"/>
  <c r="LA651" i="99"/>
  <c r="KP651" i="99"/>
  <c r="KF651" i="99"/>
  <c r="JU651" i="99"/>
  <c r="JJ651" i="99"/>
  <c r="IZ651" i="99"/>
  <c r="IO651" i="99"/>
  <c r="MR651" i="99"/>
  <c r="MH651" i="99"/>
  <c r="KY651" i="99"/>
  <c r="KO651" i="99"/>
  <c r="KD651" i="99"/>
  <c r="JS651" i="99"/>
  <c r="JI651" i="99"/>
  <c r="IX651" i="99"/>
  <c r="IM651" i="99"/>
  <c r="MP651" i="99"/>
  <c r="MG651" i="99"/>
  <c r="KX651" i="99"/>
  <c r="KN651" i="99"/>
  <c r="KC651" i="99"/>
  <c r="JR651" i="99"/>
  <c r="JH651" i="99"/>
  <c r="IW651" i="99"/>
  <c r="IL651" i="99"/>
  <c r="KW651" i="99"/>
  <c r="KL651" i="99"/>
  <c r="KA651" i="99"/>
  <c r="JQ651" i="99"/>
  <c r="JF651" i="99"/>
  <c r="IU651" i="99"/>
  <c r="IK651" i="99"/>
  <c r="LE651" i="99"/>
  <c r="KI651" i="99"/>
  <c r="JN651" i="99"/>
  <c r="IS651" i="99"/>
  <c r="LF651" i="99"/>
  <c r="KV651" i="99"/>
  <c r="KK651" i="99"/>
  <c r="JZ651" i="99"/>
  <c r="JP651" i="99"/>
  <c r="JE651" i="99"/>
  <c r="IT651" i="99"/>
  <c r="IJ651" i="99"/>
  <c r="KT651" i="99"/>
  <c r="JY651" i="99"/>
  <c r="JC651" i="99"/>
  <c r="IH651" i="99"/>
  <c r="DI667" i="99"/>
  <c r="CV667" i="99"/>
  <c r="CG667" i="99"/>
  <c r="BR667" i="99"/>
  <c r="DX667" i="99"/>
  <c r="FZ667" i="99"/>
  <c r="FY667" i="99"/>
  <c r="FX667" i="99"/>
  <c r="MT671" i="99"/>
  <c r="LE671" i="99"/>
  <c r="KW671" i="99"/>
  <c r="KO671" i="99"/>
  <c r="KG671" i="99"/>
  <c r="JY671" i="99"/>
  <c r="JQ671" i="99"/>
  <c r="JI671" i="99"/>
  <c r="JA671" i="99"/>
  <c r="IS671" i="99"/>
  <c r="IK671" i="99"/>
  <c r="MS671" i="99"/>
  <c r="LD671" i="99"/>
  <c r="KV671" i="99"/>
  <c r="KN671" i="99"/>
  <c r="KF671" i="99"/>
  <c r="JX671" i="99"/>
  <c r="JP671" i="99"/>
  <c r="JH671" i="99"/>
  <c r="IZ671" i="99"/>
  <c r="IR671" i="99"/>
  <c r="IJ671" i="99"/>
  <c r="MR671" i="99"/>
  <c r="MJ671" i="99"/>
  <c r="LC671" i="99"/>
  <c r="KU671" i="99"/>
  <c r="KM671" i="99"/>
  <c r="KE671" i="99"/>
  <c r="JW671" i="99"/>
  <c r="JO671" i="99"/>
  <c r="JG671" i="99"/>
  <c r="IY671" i="99"/>
  <c r="IQ671" i="99"/>
  <c r="II671" i="99"/>
  <c r="MQ671" i="99"/>
  <c r="MI671" i="99"/>
  <c r="LB671" i="99"/>
  <c r="KT671" i="99"/>
  <c r="KL671" i="99"/>
  <c r="KD671" i="99"/>
  <c r="JV671" i="99"/>
  <c r="JN671" i="99"/>
  <c r="JF671" i="99"/>
  <c r="IX671" i="99"/>
  <c r="IP671" i="99"/>
  <c r="IH671" i="99"/>
  <c r="MP671" i="99"/>
  <c r="MH671" i="99"/>
  <c r="LA671" i="99"/>
  <c r="KS671" i="99"/>
  <c r="KK671" i="99"/>
  <c r="KC671" i="99"/>
  <c r="JU671" i="99"/>
  <c r="JM671" i="99"/>
  <c r="JE671" i="99"/>
  <c r="IW671" i="99"/>
  <c r="IO671" i="99"/>
  <c r="IG671" i="99"/>
  <c r="KR671" i="99"/>
  <c r="JZ671" i="99"/>
  <c r="JC671" i="99"/>
  <c r="IF671" i="99"/>
  <c r="KQ671" i="99"/>
  <c r="JT671" i="99"/>
  <c r="JB671" i="99"/>
  <c r="IE671" i="99"/>
  <c r="MG671" i="99"/>
  <c r="KP671" i="99"/>
  <c r="JS671" i="99"/>
  <c r="IV671" i="99"/>
  <c r="MF671" i="99"/>
  <c r="KJ671" i="99"/>
  <c r="JR671" i="99"/>
  <c r="IU671" i="99"/>
  <c r="LF671" i="99"/>
  <c r="KI671" i="99"/>
  <c r="JL671" i="99"/>
  <c r="IT671" i="99"/>
  <c r="KX671" i="99"/>
  <c r="IM671" i="99"/>
  <c r="KH671" i="99"/>
  <c r="IL671" i="99"/>
  <c r="KB671" i="99"/>
  <c r="KA671" i="99"/>
  <c r="KY671" i="99"/>
  <c r="JK671" i="99"/>
  <c r="JJ671" i="99"/>
  <c r="JD671" i="99"/>
  <c r="IN671" i="99"/>
  <c r="MO673" i="99"/>
  <c r="MG673" i="99"/>
  <c r="LB673" i="99"/>
  <c r="KT673" i="99"/>
  <c r="KL673" i="99"/>
  <c r="KD673" i="99"/>
  <c r="JV673" i="99"/>
  <c r="JN673" i="99"/>
  <c r="JF673" i="99"/>
  <c r="IX673" i="99"/>
  <c r="IP673" i="99"/>
  <c r="IH673" i="99"/>
  <c r="HZ673" i="99"/>
  <c r="MN673" i="99"/>
  <c r="MF673" i="99"/>
  <c r="LA673" i="99"/>
  <c r="KS673" i="99"/>
  <c r="KK673" i="99"/>
  <c r="KC673" i="99"/>
  <c r="JU673" i="99"/>
  <c r="JM673" i="99"/>
  <c r="JE673" i="99"/>
  <c r="IW673" i="99"/>
  <c r="IO673" i="99"/>
  <c r="IG673" i="99"/>
  <c r="MM673" i="99"/>
  <c r="KZ673" i="99"/>
  <c r="KR673" i="99"/>
  <c r="KJ673" i="99"/>
  <c r="KB673" i="99"/>
  <c r="JT673" i="99"/>
  <c r="JL673" i="99"/>
  <c r="JD673" i="99"/>
  <c r="IV673" i="99"/>
  <c r="IN673" i="99"/>
  <c r="IF673" i="99"/>
  <c r="MT673" i="99"/>
  <c r="ML673" i="99"/>
  <c r="KY673" i="99"/>
  <c r="KQ673" i="99"/>
  <c r="KI673" i="99"/>
  <c r="KA673" i="99"/>
  <c r="JS673" i="99"/>
  <c r="JK673" i="99"/>
  <c r="JC673" i="99"/>
  <c r="IU673" i="99"/>
  <c r="IM673" i="99"/>
  <c r="IE673" i="99"/>
  <c r="MS673" i="99"/>
  <c r="MK673" i="99"/>
  <c r="LF673" i="99"/>
  <c r="KX673" i="99"/>
  <c r="KP673" i="99"/>
  <c r="KH673" i="99"/>
  <c r="JZ673" i="99"/>
  <c r="JR673" i="99"/>
  <c r="JJ673" i="99"/>
  <c r="JB673" i="99"/>
  <c r="IT673" i="99"/>
  <c r="IL673" i="99"/>
  <c r="ID673" i="99"/>
  <c r="MJ673" i="99"/>
  <c r="KW673" i="99"/>
  <c r="KE673" i="99"/>
  <c r="JH673" i="99"/>
  <c r="IK673" i="99"/>
  <c r="MI673" i="99"/>
  <c r="KV673" i="99"/>
  <c r="JY673" i="99"/>
  <c r="JG673" i="99"/>
  <c r="IJ673" i="99"/>
  <c r="MH673" i="99"/>
  <c r="KU673" i="99"/>
  <c r="JX673" i="99"/>
  <c r="JA673" i="99"/>
  <c r="II673" i="99"/>
  <c r="KO673" i="99"/>
  <c r="JW673" i="99"/>
  <c r="IZ673" i="99"/>
  <c r="IC673" i="99"/>
  <c r="KN673" i="99"/>
  <c r="JQ673" i="99"/>
  <c r="IY673" i="99"/>
  <c r="IB673" i="99"/>
  <c r="MR673" i="99"/>
  <c r="KM673" i="99"/>
  <c r="IQ673" i="99"/>
  <c r="MQ673" i="99"/>
  <c r="KG673" i="99"/>
  <c r="IA673" i="99"/>
  <c r="MP673" i="99"/>
  <c r="KF673" i="99"/>
  <c r="JP673" i="99"/>
  <c r="JI673" i="99"/>
  <c r="IS673" i="99"/>
  <c r="IR673" i="99"/>
  <c r="LD673" i="99"/>
  <c r="LE673" i="99"/>
  <c r="GA675" i="99"/>
  <c r="FZ675" i="99"/>
  <c r="FY675" i="99"/>
  <c r="FX675" i="99"/>
  <c r="DR675" i="99"/>
  <c r="CW675" i="99"/>
  <c r="FW675" i="99"/>
  <c r="CA675" i="99"/>
  <c r="KZ681" i="99"/>
  <c r="JT681" i="99"/>
  <c r="IN681" i="99"/>
  <c r="KY681" i="99"/>
  <c r="JS681" i="99"/>
  <c r="IM681" i="99"/>
  <c r="MT681" i="99"/>
  <c r="KR681" i="99"/>
  <c r="JL681" i="99"/>
  <c r="IF681" i="99"/>
  <c r="MS681" i="99"/>
  <c r="KQ681" i="99"/>
  <c r="JK681" i="99"/>
  <c r="IE681" i="99"/>
  <c r="ML681" i="99"/>
  <c r="KJ681" i="99"/>
  <c r="JD681" i="99"/>
  <c r="KA681" i="99"/>
  <c r="JC681" i="99"/>
  <c r="IV681" i="99"/>
  <c r="MK681" i="99"/>
  <c r="IU681" i="99"/>
  <c r="KI681" i="99"/>
  <c r="KB681" i="99"/>
  <c r="FW683" i="99"/>
  <c r="DT683" i="99"/>
  <c r="DJ683" i="99"/>
  <c r="GA683" i="99"/>
  <c r="CY683" i="99"/>
  <c r="FZ683" i="99"/>
  <c r="CN683" i="99"/>
  <c r="CD683" i="99"/>
  <c r="FY683" i="99"/>
  <c r="BS683" i="99"/>
  <c r="FX683" i="99"/>
  <c r="MO686" i="99"/>
  <c r="MG686" i="99"/>
  <c r="KZ686" i="99"/>
  <c r="KR686" i="99"/>
  <c r="KJ686" i="99"/>
  <c r="KB686" i="99"/>
  <c r="JT686" i="99"/>
  <c r="JL686" i="99"/>
  <c r="JD686" i="99"/>
  <c r="IV686" i="99"/>
  <c r="IN686" i="99"/>
  <c r="IF686" i="99"/>
  <c r="MN686" i="99"/>
  <c r="MF686" i="99"/>
  <c r="KY686" i="99"/>
  <c r="KQ686" i="99"/>
  <c r="KI686" i="99"/>
  <c r="KA686" i="99"/>
  <c r="JS686" i="99"/>
  <c r="JK686" i="99"/>
  <c r="JC686" i="99"/>
  <c r="IU686" i="99"/>
  <c r="IM686" i="99"/>
  <c r="IE686" i="99"/>
  <c r="MM686" i="99"/>
  <c r="LF686" i="99"/>
  <c r="KX686" i="99"/>
  <c r="KP686" i="99"/>
  <c r="KH686" i="99"/>
  <c r="JZ686" i="99"/>
  <c r="JR686" i="99"/>
  <c r="JJ686" i="99"/>
  <c r="JB686" i="99"/>
  <c r="IT686" i="99"/>
  <c r="IL686" i="99"/>
  <c r="ID686" i="99"/>
  <c r="MT686" i="99"/>
  <c r="ML686" i="99"/>
  <c r="LE686" i="99"/>
  <c r="KW686" i="99"/>
  <c r="KO686" i="99"/>
  <c r="KG686" i="99"/>
  <c r="JY686" i="99"/>
  <c r="JQ686" i="99"/>
  <c r="JI686" i="99"/>
  <c r="JA686" i="99"/>
  <c r="IS686" i="99"/>
  <c r="IK686" i="99"/>
  <c r="IC686" i="99"/>
  <c r="MS686" i="99"/>
  <c r="MK686" i="99"/>
  <c r="LD686" i="99"/>
  <c r="KV686" i="99"/>
  <c r="KN686" i="99"/>
  <c r="KF686" i="99"/>
  <c r="JX686" i="99"/>
  <c r="JP686" i="99"/>
  <c r="JH686" i="99"/>
  <c r="IZ686" i="99"/>
  <c r="IR686" i="99"/>
  <c r="IJ686" i="99"/>
  <c r="IB686" i="99"/>
  <c r="MR686" i="99"/>
  <c r="MJ686" i="99"/>
  <c r="LC686" i="99"/>
  <c r="KU686" i="99"/>
  <c r="KM686" i="99"/>
  <c r="KE686" i="99"/>
  <c r="JW686" i="99"/>
  <c r="JO686" i="99"/>
  <c r="JG686" i="99"/>
  <c r="IY686" i="99"/>
  <c r="IQ686" i="99"/>
  <c r="II686" i="99"/>
  <c r="IA686" i="99"/>
  <c r="MI686" i="99"/>
  <c r="KD686" i="99"/>
  <c r="IX686" i="99"/>
  <c r="MH686" i="99"/>
  <c r="KC686" i="99"/>
  <c r="IW686" i="99"/>
  <c r="LB686" i="99"/>
  <c r="JV686" i="99"/>
  <c r="IP686" i="99"/>
  <c r="LA686" i="99"/>
  <c r="JU686" i="99"/>
  <c r="IO686" i="99"/>
  <c r="KT686" i="99"/>
  <c r="JN686" i="99"/>
  <c r="IH686" i="99"/>
  <c r="JM686" i="99"/>
  <c r="JF686" i="99"/>
  <c r="JE686" i="99"/>
  <c r="MQ686" i="99"/>
  <c r="IG686" i="99"/>
  <c r="MP686" i="99"/>
  <c r="HZ686" i="99"/>
  <c r="KS686" i="99"/>
  <c r="KL686" i="99"/>
  <c r="KK686" i="99"/>
  <c r="AA1548" i="99"/>
  <c r="AB1548" i="99"/>
  <c r="CV649" i="99"/>
  <c r="KV649" i="99"/>
  <c r="JY650" i="99"/>
  <c r="AI649" i="99"/>
  <c r="BI649" i="99"/>
  <c r="CD649" i="99"/>
  <c r="DD649" i="99"/>
  <c r="EE649" i="99"/>
  <c r="FF649" i="99"/>
  <c r="GQ649" i="99"/>
  <c r="IA649" i="99"/>
  <c r="JP649" i="99"/>
  <c r="LG649" i="99"/>
  <c r="IS650" i="99"/>
  <c r="KI650" i="99"/>
  <c r="IE651" i="99"/>
  <c r="JV651" i="99"/>
  <c r="IT653" i="99"/>
  <c r="HZ654" i="99"/>
  <c r="MG654" i="99"/>
  <c r="JO655" i="99"/>
  <c r="L238" i="99"/>
  <c r="AJ649" i="99"/>
  <c r="BK649" i="99"/>
  <c r="CK649" i="99"/>
  <c r="DE649" i="99"/>
  <c r="EF649" i="99"/>
  <c r="FG649" i="99"/>
  <c r="GR649" i="99"/>
  <c r="IB649" i="99"/>
  <c r="JQ649" i="99"/>
  <c r="LH649" i="99"/>
  <c r="JB650" i="99"/>
  <c r="KR650" i="99"/>
  <c r="IG651" i="99"/>
  <c r="JX651" i="99"/>
  <c r="BT653" i="99"/>
  <c r="JM653" i="99"/>
  <c r="IU654" i="99"/>
  <c r="KH655" i="99"/>
  <c r="MN657" i="99"/>
  <c r="MF657" i="99"/>
  <c r="LD657" i="99"/>
  <c r="KV657" i="99"/>
  <c r="KN657" i="99"/>
  <c r="KF657" i="99"/>
  <c r="JX657" i="99"/>
  <c r="JP657" i="99"/>
  <c r="JH657" i="99"/>
  <c r="IZ657" i="99"/>
  <c r="IR657" i="99"/>
  <c r="IJ657" i="99"/>
  <c r="MM657" i="99"/>
  <c r="LC657" i="99"/>
  <c r="KU657" i="99"/>
  <c r="KM657" i="99"/>
  <c r="MT657" i="99"/>
  <c r="ML657" i="99"/>
  <c r="LB657" i="99"/>
  <c r="KT657" i="99"/>
  <c r="KL657" i="99"/>
  <c r="MS657" i="99"/>
  <c r="MK657" i="99"/>
  <c r="LA657" i="99"/>
  <c r="KS657" i="99"/>
  <c r="KK657" i="99"/>
  <c r="KC657" i="99"/>
  <c r="MR657" i="99"/>
  <c r="MJ657" i="99"/>
  <c r="KZ657" i="99"/>
  <c r="KR657" i="99"/>
  <c r="KJ657" i="99"/>
  <c r="KW657" i="99"/>
  <c r="KD657" i="99"/>
  <c r="JT657" i="99"/>
  <c r="JK657" i="99"/>
  <c r="JB657" i="99"/>
  <c r="IS657" i="99"/>
  <c r="II657" i="99"/>
  <c r="IA657" i="99"/>
  <c r="MQ657" i="99"/>
  <c r="KQ657" i="99"/>
  <c r="KB657" i="99"/>
  <c r="JS657" i="99"/>
  <c r="JJ657" i="99"/>
  <c r="JA657" i="99"/>
  <c r="IQ657" i="99"/>
  <c r="IH657" i="99"/>
  <c r="HZ657" i="99"/>
  <c r="MP657" i="99"/>
  <c r="KP657" i="99"/>
  <c r="KA657" i="99"/>
  <c r="JR657" i="99"/>
  <c r="JI657" i="99"/>
  <c r="IY657" i="99"/>
  <c r="IP657" i="99"/>
  <c r="IG657" i="99"/>
  <c r="MO657" i="99"/>
  <c r="KO657" i="99"/>
  <c r="JZ657" i="99"/>
  <c r="JQ657" i="99"/>
  <c r="JG657" i="99"/>
  <c r="IX657" i="99"/>
  <c r="IO657" i="99"/>
  <c r="IF657" i="99"/>
  <c r="MG657" i="99"/>
  <c r="KY657" i="99"/>
  <c r="JV657" i="99"/>
  <c r="JD657" i="99"/>
  <c r="IL657" i="99"/>
  <c r="IL687" i="99" s="1"/>
  <c r="M775" i="99" s="1"/>
  <c r="KX657" i="99"/>
  <c r="JU657" i="99"/>
  <c r="JC657" i="99"/>
  <c r="IK657" i="99"/>
  <c r="KI657" i="99"/>
  <c r="JO657" i="99"/>
  <c r="IW657" i="99"/>
  <c r="IE657" i="99"/>
  <c r="KH657" i="99"/>
  <c r="JN657" i="99"/>
  <c r="IV657" i="99"/>
  <c r="ID657" i="99"/>
  <c r="KE657" i="99"/>
  <c r="IT657" i="99"/>
  <c r="JY657" i="99"/>
  <c r="IN657" i="99"/>
  <c r="JW657" i="99"/>
  <c r="IM657" i="99"/>
  <c r="LF657" i="99"/>
  <c r="JM657" i="99"/>
  <c r="IC657" i="99"/>
  <c r="JL657" i="99"/>
  <c r="IB657" i="99"/>
  <c r="JF657" i="99"/>
  <c r="ML660" i="99"/>
  <c r="MK660" i="99"/>
  <c r="MS660" i="99"/>
  <c r="MN660" i="99"/>
  <c r="MM660" i="99"/>
  <c r="IB660" i="99"/>
  <c r="MJ663" i="99"/>
  <c r="LA663" i="99"/>
  <c r="KQ663" i="99"/>
  <c r="KF663" i="99"/>
  <c r="JU663" i="99"/>
  <c r="JK663" i="99"/>
  <c r="IO663" i="99"/>
  <c r="IE663" i="99"/>
  <c r="IZ663" i="99"/>
  <c r="HQ668" i="99"/>
  <c r="HD668" i="99"/>
  <c r="GO668" i="99"/>
  <c r="G338" i="99"/>
  <c r="F336" i="99"/>
  <c r="AA649" i="99"/>
  <c r="BA649" i="99"/>
  <c r="DW649" i="99"/>
  <c r="GG649" i="99"/>
  <c r="MM649" i="99"/>
  <c r="IH650" i="99"/>
  <c r="ML650" i="99"/>
  <c r="JK651" i="99"/>
  <c r="LB651" i="99"/>
  <c r="MT651" i="99"/>
  <c r="LF653" i="99"/>
  <c r="IS655" i="99"/>
  <c r="MH657" i="99"/>
  <c r="AQ649" i="99"/>
  <c r="BL649" i="99"/>
  <c r="CL649" i="99"/>
  <c r="DL649" i="99"/>
  <c r="EG649" i="99"/>
  <c r="FO649" i="99"/>
  <c r="GZ649" i="99"/>
  <c r="IJ649" i="99"/>
  <c r="KA649" i="99"/>
  <c r="LQ649" i="99"/>
  <c r="JC650" i="99"/>
  <c r="KT650" i="99"/>
  <c r="IP651" i="99"/>
  <c r="KG651" i="99"/>
  <c r="CF653" i="99"/>
  <c r="KI655" i="99"/>
  <c r="JD662" i="99"/>
  <c r="JO673" i="99"/>
  <c r="MQ653" i="99"/>
  <c r="MI653" i="99"/>
  <c r="LE653" i="99"/>
  <c r="KW653" i="99"/>
  <c r="KO653" i="99"/>
  <c r="KG653" i="99"/>
  <c r="JY653" i="99"/>
  <c r="JQ653" i="99"/>
  <c r="JI653" i="99"/>
  <c r="JA653" i="99"/>
  <c r="IS653" i="99"/>
  <c r="IK653" i="99"/>
  <c r="IC653" i="99"/>
  <c r="IC687" i="99" s="1"/>
  <c r="HC653" i="99"/>
  <c r="GC653" i="99"/>
  <c r="FQ653" i="99"/>
  <c r="EG653" i="99"/>
  <c r="DH653" i="99"/>
  <c r="CB653" i="99"/>
  <c r="MP653" i="99"/>
  <c r="MH653" i="99"/>
  <c r="LD653" i="99"/>
  <c r="KV653" i="99"/>
  <c r="KN653" i="99"/>
  <c r="KF653" i="99"/>
  <c r="JX653" i="99"/>
  <c r="JP653" i="99"/>
  <c r="JH653" i="99"/>
  <c r="IZ653" i="99"/>
  <c r="IR653" i="99"/>
  <c r="IJ653" i="99"/>
  <c r="IB653" i="99"/>
  <c r="GX653" i="99"/>
  <c r="GB653" i="99"/>
  <c r="FK653" i="99"/>
  <c r="EF653" i="99"/>
  <c r="DD653" i="99"/>
  <c r="BX653" i="99"/>
  <c r="MS653" i="99"/>
  <c r="MG653" i="99"/>
  <c r="LA653" i="99"/>
  <c r="KQ653" i="99"/>
  <c r="KE653" i="99"/>
  <c r="JU653" i="99"/>
  <c r="JK653" i="99"/>
  <c r="IY653" i="99"/>
  <c r="IO653" i="99"/>
  <c r="IE653" i="99"/>
  <c r="GS653" i="99"/>
  <c r="FY653" i="99"/>
  <c r="EK653" i="99"/>
  <c r="CZ653" i="99"/>
  <c r="BL653" i="99"/>
  <c r="AF653" i="99"/>
  <c r="MR653" i="99"/>
  <c r="MF653" i="99"/>
  <c r="KZ653" i="99"/>
  <c r="KP653" i="99"/>
  <c r="KD653" i="99"/>
  <c r="JT653" i="99"/>
  <c r="JJ653" i="99"/>
  <c r="IX653" i="99"/>
  <c r="IN653" i="99"/>
  <c r="ID653" i="99"/>
  <c r="GM653" i="99"/>
  <c r="FX653" i="99"/>
  <c r="EH653" i="99"/>
  <c r="CV653" i="99"/>
  <c r="BH653" i="99"/>
  <c r="AB653" i="99"/>
  <c r="MO653" i="99"/>
  <c r="MA653" i="99"/>
  <c r="KY653" i="99"/>
  <c r="KM653" i="99"/>
  <c r="KC653" i="99"/>
  <c r="JS653" i="99"/>
  <c r="JG653" i="99"/>
  <c r="IW653" i="99"/>
  <c r="IM653" i="99"/>
  <c r="IA653" i="99"/>
  <c r="GH653" i="99"/>
  <c r="FW653" i="99"/>
  <c r="EE653" i="99"/>
  <c r="CR653" i="99"/>
  <c r="BD653" i="99"/>
  <c r="X653" i="99"/>
  <c r="MN653" i="99"/>
  <c r="LS653" i="99"/>
  <c r="KX653" i="99"/>
  <c r="KL653" i="99"/>
  <c r="KB653" i="99"/>
  <c r="JR653" i="99"/>
  <c r="JF653" i="99"/>
  <c r="IV653" i="99"/>
  <c r="IL653" i="99"/>
  <c r="HZ653" i="99"/>
  <c r="GF653" i="99"/>
  <c r="FV653" i="99"/>
  <c r="ED653" i="99"/>
  <c r="CN653" i="99"/>
  <c r="AZ653" i="99"/>
  <c r="MT653" i="99"/>
  <c r="LB653" i="99"/>
  <c r="KH653" i="99"/>
  <c r="JL653" i="99"/>
  <c r="IP653" i="99"/>
  <c r="HI653" i="99"/>
  <c r="EP653" i="99"/>
  <c r="BP653" i="99"/>
  <c r="JO653" i="99"/>
  <c r="MM653" i="99"/>
  <c r="KU653" i="99"/>
  <c r="KA653" i="99"/>
  <c r="JE653" i="99"/>
  <c r="II653" i="99"/>
  <c r="GE653" i="99"/>
  <c r="EA653" i="99"/>
  <c r="AV653" i="99"/>
  <c r="ML653" i="99"/>
  <c r="KT653" i="99"/>
  <c r="JZ653" i="99"/>
  <c r="JD653" i="99"/>
  <c r="IH653" i="99"/>
  <c r="GD653" i="99"/>
  <c r="DV653" i="99"/>
  <c r="AR653" i="99"/>
  <c r="MK653" i="99"/>
  <c r="KS653" i="99"/>
  <c r="JW653" i="99"/>
  <c r="JC653" i="99"/>
  <c r="IG653" i="99"/>
  <c r="GA653" i="99"/>
  <c r="DQ653" i="99"/>
  <c r="AN653" i="99"/>
  <c r="LK653" i="99"/>
  <c r="HY653" i="99"/>
  <c r="CJ653" i="99"/>
  <c r="MJ653" i="99"/>
  <c r="KR653" i="99"/>
  <c r="JV653" i="99"/>
  <c r="JB653" i="99"/>
  <c r="IF653" i="99"/>
  <c r="FZ653" i="99"/>
  <c r="DL653" i="99"/>
  <c r="AJ653" i="99"/>
  <c r="KK653" i="99"/>
  <c r="IU653" i="99"/>
  <c r="FF653" i="99"/>
  <c r="LE654" i="99"/>
  <c r="KW654" i="99"/>
  <c r="KO654" i="99"/>
  <c r="KG654" i="99"/>
  <c r="JY654" i="99"/>
  <c r="JQ654" i="99"/>
  <c r="JI654" i="99"/>
  <c r="JA654" i="99"/>
  <c r="IS654" i="99"/>
  <c r="IK654" i="99"/>
  <c r="IC654" i="99"/>
  <c r="LD654" i="99"/>
  <c r="KV654" i="99"/>
  <c r="KN654" i="99"/>
  <c r="KF654" i="99"/>
  <c r="JX654" i="99"/>
  <c r="JP654" i="99"/>
  <c r="JH654" i="99"/>
  <c r="IZ654" i="99"/>
  <c r="IR654" i="99"/>
  <c r="IJ654" i="99"/>
  <c r="IB654" i="99"/>
  <c r="LC654" i="99"/>
  <c r="KS654" i="99"/>
  <c r="KI654" i="99"/>
  <c r="JW654" i="99"/>
  <c r="JM654" i="99"/>
  <c r="JC654" i="99"/>
  <c r="IQ654" i="99"/>
  <c r="IG654" i="99"/>
  <c r="LB654" i="99"/>
  <c r="KR654" i="99"/>
  <c r="KH654" i="99"/>
  <c r="JV654" i="99"/>
  <c r="JL654" i="99"/>
  <c r="JB654" i="99"/>
  <c r="IP654" i="99"/>
  <c r="IF654" i="99"/>
  <c r="LA654" i="99"/>
  <c r="KQ654" i="99"/>
  <c r="KE654" i="99"/>
  <c r="JU654" i="99"/>
  <c r="JK654" i="99"/>
  <c r="IY654" i="99"/>
  <c r="IO654" i="99"/>
  <c r="IE654" i="99"/>
  <c r="KZ654" i="99"/>
  <c r="KP654" i="99"/>
  <c r="KD654" i="99"/>
  <c r="JT654" i="99"/>
  <c r="JJ654" i="99"/>
  <c r="IX654" i="99"/>
  <c r="IN654" i="99"/>
  <c r="ID654" i="99"/>
  <c r="LF654" i="99"/>
  <c r="KJ654" i="99"/>
  <c r="JN654" i="99"/>
  <c r="IT654" i="99"/>
  <c r="JS654" i="99"/>
  <c r="KY654" i="99"/>
  <c r="KC654" i="99"/>
  <c r="JG654" i="99"/>
  <c r="IM654" i="99"/>
  <c r="KX654" i="99"/>
  <c r="KB654" i="99"/>
  <c r="JF654" i="99"/>
  <c r="IL654" i="99"/>
  <c r="KU654" i="99"/>
  <c r="KA654" i="99"/>
  <c r="JE654" i="99"/>
  <c r="II654" i="99"/>
  <c r="KM654" i="99"/>
  <c r="IW654" i="99"/>
  <c r="KT654" i="99"/>
  <c r="JZ654" i="99"/>
  <c r="JD654" i="99"/>
  <c r="IH654" i="99"/>
  <c r="IA654" i="99"/>
  <c r="MR665" i="99"/>
  <c r="MJ665" i="99"/>
  <c r="LE665" i="99"/>
  <c r="KW665" i="99"/>
  <c r="KO665" i="99"/>
  <c r="KG665" i="99"/>
  <c r="JY665" i="99"/>
  <c r="JQ665" i="99"/>
  <c r="JI665" i="99"/>
  <c r="JA665" i="99"/>
  <c r="IS665" i="99"/>
  <c r="IK665" i="99"/>
  <c r="IC665" i="99"/>
  <c r="MQ665" i="99"/>
  <c r="MI665" i="99"/>
  <c r="LD665" i="99"/>
  <c r="KV665" i="99"/>
  <c r="KN665" i="99"/>
  <c r="KF665" i="99"/>
  <c r="JX665" i="99"/>
  <c r="JP665" i="99"/>
  <c r="JH665" i="99"/>
  <c r="IZ665" i="99"/>
  <c r="IR665" i="99"/>
  <c r="IJ665" i="99"/>
  <c r="IB665" i="99"/>
  <c r="MP665" i="99"/>
  <c r="MH665" i="99"/>
  <c r="LC665" i="99"/>
  <c r="KU665" i="99"/>
  <c r="KM665" i="99"/>
  <c r="KE665" i="99"/>
  <c r="JW665" i="99"/>
  <c r="JO665" i="99"/>
  <c r="JG665" i="99"/>
  <c r="IY665" i="99"/>
  <c r="IQ665" i="99"/>
  <c r="II665" i="99"/>
  <c r="IA665" i="99"/>
  <c r="MO665" i="99"/>
  <c r="MG665" i="99"/>
  <c r="LB665" i="99"/>
  <c r="KT665" i="99"/>
  <c r="KL665" i="99"/>
  <c r="KD665" i="99"/>
  <c r="JV665" i="99"/>
  <c r="JN665" i="99"/>
  <c r="JF665" i="99"/>
  <c r="IX665" i="99"/>
  <c r="IP665" i="99"/>
  <c r="IH665" i="99"/>
  <c r="HZ665" i="99"/>
  <c r="MN665" i="99"/>
  <c r="MF665" i="99"/>
  <c r="LA665" i="99"/>
  <c r="KS665" i="99"/>
  <c r="KK665" i="99"/>
  <c r="KC665" i="99"/>
  <c r="JU665" i="99"/>
  <c r="JM665" i="99"/>
  <c r="JE665" i="99"/>
  <c r="IW665" i="99"/>
  <c r="IO665" i="99"/>
  <c r="IG665" i="99"/>
  <c r="ML665" i="99"/>
  <c r="KR665" i="99"/>
  <c r="JZ665" i="99"/>
  <c r="JC665" i="99"/>
  <c r="IF665" i="99"/>
  <c r="MK665" i="99"/>
  <c r="KQ665" i="99"/>
  <c r="JT665" i="99"/>
  <c r="JB665" i="99"/>
  <c r="IE665" i="99"/>
  <c r="KP665" i="99"/>
  <c r="JS665" i="99"/>
  <c r="IV665" i="99"/>
  <c r="ID665" i="99"/>
  <c r="KJ665" i="99"/>
  <c r="JR665" i="99"/>
  <c r="IU665" i="99"/>
  <c r="LF665" i="99"/>
  <c r="KI665" i="99"/>
  <c r="JL665" i="99"/>
  <c r="IT665" i="99"/>
  <c r="MM665" i="99"/>
  <c r="KA665" i="99"/>
  <c r="JK665" i="99"/>
  <c r="JJ665" i="99"/>
  <c r="KZ665" i="99"/>
  <c r="JD665" i="99"/>
  <c r="IL665" i="99"/>
  <c r="KY665" i="99"/>
  <c r="KX665" i="99"/>
  <c r="KH665" i="99"/>
  <c r="KB665" i="99"/>
  <c r="MP668" i="99"/>
  <c r="MO668" i="99"/>
  <c r="ML668" i="99"/>
  <c r="MK668" i="99"/>
  <c r="MT668" i="99"/>
  <c r="MJ668" i="99"/>
  <c r="MQ668" i="99"/>
  <c r="MI668" i="99"/>
  <c r="MH668" i="99"/>
  <c r="MG668" i="99"/>
  <c r="MS668" i="99"/>
  <c r="MR668" i="99"/>
  <c r="BF675" i="99"/>
  <c r="AM675" i="99"/>
  <c r="GY675" i="99"/>
  <c r="EX675" i="99"/>
  <c r="MI676" i="99"/>
  <c r="MR676" i="99"/>
  <c r="MQ676" i="99"/>
  <c r="MJ676" i="99"/>
  <c r="MQ678" i="99"/>
  <c r="MI678" i="99"/>
  <c r="LB678" i="99"/>
  <c r="KT678" i="99"/>
  <c r="KL678" i="99"/>
  <c r="KD678" i="99"/>
  <c r="JV678" i="99"/>
  <c r="JN678" i="99"/>
  <c r="JF678" i="99"/>
  <c r="IX678" i="99"/>
  <c r="IP678" i="99"/>
  <c r="IH678" i="99"/>
  <c r="HZ678" i="99"/>
  <c r="MP678" i="99"/>
  <c r="MH678" i="99"/>
  <c r="LA678" i="99"/>
  <c r="KS678" i="99"/>
  <c r="KK678" i="99"/>
  <c r="KC678" i="99"/>
  <c r="JU678" i="99"/>
  <c r="JM678" i="99"/>
  <c r="JE678" i="99"/>
  <c r="IW678" i="99"/>
  <c r="IO678" i="99"/>
  <c r="IG678" i="99"/>
  <c r="AO678" i="99"/>
  <c r="MO678" i="99"/>
  <c r="MG678" i="99"/>
  <c r="KZ678" i="99"/>
  <c r="KR678" i="99"/>
  <c r="KJ678" i="99"/>
  <c r="KB678" i="99"/>
  <c r="JT678" i="99"/>
  <c r="JL678" i="99"/>
  <c r="JD678" i="99"/>
  <c r="IV678" i="99"/>
  <c r="IN678" i="99"/>
  <c r="IF678" i="99"/>
  <c r="MN678" i="99"/>
  <c r="MF678" i="99"/>
  <c r="KY678" i="99"/>
  <c r="KQ678" i="99"/>
  <c r="KI678" i="99"/>
  <c r="KA678" i="99"/>
  <c r="JS678" i="99"/>
  <c r="JK678" i="99"/>
  <c r="JC678" i="99"/>
  <c r="IU678" i="99"/>
  <c r="IM678" i="99"/>
  <c r="IE678" i="99"/>
  <c r="MM678" i="99"/>
  <c r="LF678" i="99"/>
  <c r="KX678" i="99"/>
  <c r="KP678" i="99"/>
  <c r="KH678" i="99"/>
  <c r="JZ678" i="99"/>
  <c r="JR678" i="99"/>
  <c r="JJ678" i="99"/>
  <c r="JB678" i="99"/>
  <c r="IT678" i="99"/>
  <c r="IL678" i="99"/>
  <c r="ID678" i="99"/>
  <c r="MT678" i="99"/>
  <c r="ML678" i="99"/>
  <c r="LE678" i="99"/>
  <c r="KW678" i="99"/>
  <c r="KO678" i="99"/>
  <c r="KG678" i="99"/>
  <c r="JY678" i="99"/>
  <c r="JQ678" i="99"/>
  <c r="JI678" i="99"/>
  <c r="JA678" i="99"/>
  <c r="IS678" i="99"/>
  <c r="IK678" i="99"/>
  <c r="IC678" i="99"/>
  <c r="MK678" i="99"/>
  <c r="KF678" i="99"/>
  <c r="IZ678" i="99"/>
  <c r="MJ678" i="99"/>
  <c r="KE678" i="99"/>
  <c r="IY678" i="99"/>
  <c r="LD678" i="99"/>
  <c r="JX678" i="99"/>
  <c r="IR678" i="99"/>
  <c r="LC678" i="99"/>
  <c r="JW678" i="99"/>
  <c r="IQ678" i="99"/>
  <c r="KV678" i="99"/>
  <c r="JP678" i="99"/>
  <c r="IJ678" i="99"/>
  <c r="KM678" i="99"/>
  <c r="JO678" i="99"/>
  <c r="JH678" i="99"/>
  <c r="JG678" i="99"/>
  <c r="MS678" i="99"/>
  <c r="II678" i="99"/>
  <c r="KN678" i="99"/>
  <c r="IB678" i="99"/>
  <c r="IA678" i="99"/>
  <c r="MR678" i="99"/>
  <c r="KU678" i="99"/>
  <c r="IU679" i="99"/>
  <c r="KH679" i="99"/>
  <c r="KA679" i="99"/>
  <c r="JB679" i="99"/>
  <c r="JE649" i="99"/>
  <c r="AR649" i="99"/>
  <c r="BS649" i="99"/>
  <c r="CM649" i="99"/>
  <c r="DM649" i="99"/>
  <c r="EN649" i="99"/>
  <c r="FP649" i="99"/>
  <c r="HA649" i="99"/>
  <c r="IK649" i="99"/>
  <c r="KB649" i="99"/>
  <c r="LR649" i="99"/>
  <c r="JL650" i="99"/>
  <c r="LC650" i="99"/>
  <c r="IR651" i="99"/>
  <c r="KH651" i="99"/>
  <c r="EU653" i="99"/>
  <c r="KI653" i="99"/>
  <c r="JO654" i="99"/>
  <c r="LD655" i="99"/>
  <c r="KB662" i="99"/>
  <c r="MT665" i="99"/>
  <c r="AB667" i="99"/>
  <c r="LC673" i="99"/>
  <c r="J630" i="99"/>
  <c r="U422" i="99"/>
  <c r="P351" i="99"/>
  <c r="J338" i="99"/>
  <c r="AD433" i="99"/>
  <c r="AD434" i="99" s="1"/>
  <c r="M334" i="99"/>
  <c r="S351" i="99"/>
  <c r="M396" i="99"/>
  <c r="P396" i="99"/>
  <c r="U395" i="99"/>
  <c r="P402" i="99"/>
  <c r="M445" i="99"/>
  <c r="M454" i="99"/>
  <c r="P469" i="99"/>
  <c r="P473" i="99" s="1"/>
  <c r="L650" i="99"/>
  <c r="L652" i="99"/>
  <c r="MN668" i="99"/>
  <c r="DW670" i="99"/>
  <c r="GY673" i="99"/>
  <c r="KZ674" i="99"/>
  <c r="LD674" i="99"/>
  <c r="KL674" i="99"/>
  <c r="JO674" i="99"/>
  <c r="IR674" i="99"/>
  <c r="LC674" i="99"/>
  <c r="KF674" i="99"/>
  <c r="JN674" i="99"/>
  <c r="IQ674" i="99"/>
  <c r="MQ674" i="99"/>
  <c r="LB674" i="99"/>
  <c r="KE674" i="99"/>
  <c r="JH674" i="99"/>
  <c r="IP674" i="99"/>
  <c r="MP674" i="99"/>
  <c r="KV674" i="99"/>
  <c r="KD674" i="99"/>
  <c r="JG674" i="99"/>
  <c r="IJ674" i="99"/>
  <c r="MH674" i="99"/>
  <c r="KT674" i="99"/>
  <c r="JW674" i="99"/>
  <c r="IZ674" i="99"/>
  <c r="IH674" i="99"/>
  <c r="KE676" i="99"/>
  <c r="IY676" i="99"/>
  <c r="LD676" i="99"/>
  <c r="JX676" i="99"/>
  <c r="IR676" i="99"/>
  <c r="LC676" i="99"/>
  <c r="JW676" i="99"/>
  <c r="IQ676" i="99"/>
  <c r="KV676" i="99"/>
  <c r="JP676" i="99"/>
  <c r="IJ676" i="99"/>
  <c r="KU676" i="99"/>
  <c r="JO676" i="99"/>
  <c r="II676" i="99"/>
  <c r="KN676" i="99"/>
  <c r="JH676" i="99"/>
  <c r="IB676" i="99"/>
  <c r="MM679" i="99"/>
  <c r="MF679" i="99"/>
  <c r="MR681" i="99"/>
  <c r="MJ681" i="99"/>
  <c r="LF681" i="99"/>
  <c r="KX681" i="99"/>
  <c r="KP681" i="99"/>
  <c r="KH681" i="99"/>
  <c r="JZ681" i="99"/>
  <c r="JR681" i="99"/>
  <c r="JJ681" i="99"/>
  <c r="JB681" i="99"/>
  <c r="IT681" i="99"/>
  <c r="IL681" i="99"/>
  <c r="ID681" i="99"/>
  <c r="GM681" i="99"/>
  <c r="FY681" i="99"/>
  <c r="EG681" i="99"/>
  <c r="CO681" i="99"/>
  <c r="AC681" i="99"/>
  <c r="MQ681" i="99"/>
  <c r="MI681" i="99"/>
  <c r="LE681" i="99"/>
  <c r="KW681" i="99"/>
  <c r="KO681" i="99"/>
  <c r="KG681" i="99"/>
  <c r="JY681" i="99"/>
  <c r="JQ681" i="99"/>
  <c r="JI681" i="99"/>
  <c r="JA681" i="99"/>
  <c r="IS681" i="99"/>
  <c r="IK681" i="99"/>
  <c r="IC681" i="99"/>
  <c r="GF681" i="99"/>
  <c r="FX681" i="99"/>
  <c r="EF681" i="99"/>
  <c r="CG681" i="99"/>
  <c r="MP681" i="99"/>
  <c r="MH681" i="99"/>
  <c r="LD681" i="99"/>
  <c r="KV681" i="99"/>
  <c r="KN681" i="99"/>
  <c r="KF681" i="99"/>
  <c r="JX681" i="99"/>
  <c r="JP681" i="99"/>
  <c r="JH681" i="99"/>
  <c r="IZ681" i="99"/>
  <c r="IR681" i="99"/>
  <c r="IJ681" i="99"/>
  <c r="IB681" i="99"/>
  <c r="GE681" i="99"/>
  <c r="FW681" i="99"/>
  <c r="EE681" i="99"/>
  <c r="BY681" i="99"/>
  <c r="MO681" i="99"/>
  <c r="MG681" i="99"/>
  <c r="LC681" i="99"/>
  <c r="KU681" i="99"/>
  <c r="KM681" i="99"/>
  <c r="KE681" i="99"/>
  <c r="JW681" i="99"/>
  <c r="JO681" i="99"/>
  <c r="JG681" i="99"/>
  <c r="IY681" i="99"/>
  <c r="IQ681" i="99"/>
  <c r="II681" i="99"/>
  <c r="IA681" i="99"/>
  <c r="GD681" i="99"/>
  <c r="FO681" i="99"/>
  <c r="ED681" i="99"/>
  <c r="BQ681" i="99"/>
  <c r="MN681" i="99"/>
  <c r="MF681" i="99"/>
  <c r="LB681" i="99"/>
  <c r="KT681" i="99"/>
  <c r="KL681" i="99"/>
  <c r="KD681" i="99"/>
  <c r="JV681" i="99"/>
  <c r="JN681" i="99"/>
  <c r="JF681" i="99"/>
  <c r="IX681" i="99"/>
  <c r="IP681" i="99"/>
  <c r="IH681" i="99"/>
  <c r="HZ681" i="99"/>
  <c r="GC681" i="99"/>
  <c r="FD681" i="99"/>
  <c r="DV681" i="99"/>
  <c r="BI681" i="99"/>
  <c r="MM681" i="99"/>
  <c r="ME681" i="99"/>
  <c r="LA681" i="99"/>
  <c r="KS681" i="99"/>
  <c r="KK681" i="99"/>
  <c r="KC681" i="99"/>
  <c r="JU681" i="99"/>
  <c r="JM681" i="99"/>
  <c r="JE681" i="99"/>
  <c r="IW681" i="99"/>
  <c r="IO681" i="99"/>
  <c r="IG681" i="99"/>
  <c r="HS681" i="99"/>
  <c r="GB681" i="99"/>
  <c r="ET681" i="99"/>
  <c r="DM681" i="99"/>
  <c r="BA681" i="99"/>
  <c r="A682" i="99"/>
  <c r="MP682" i="99"/>
  <c r="MH682" i="99"/>
  <c r="LC682" i="99"/>
  <c r="KU682" i="99"/>
  <c r="KM682" i="99"/>
  <c r="KE682" i="99"/>
  <c r="JW682" i="99"/>
  <c r="JO682" i="99"/>
  <c r="JG682" i="99"/>
  <c r="IY682" i="99"/>
  <c r="IQ682" i="99"/>
  <c r="II682" i="99"/>
  <c r="MG682" i="99"/>
  <c r="LB682" i="99"/>
  <c r="KT682" i="99"/>
  <c r="KL682" i="99"/>
  <c r="KD682" i="99"/>
  <c r="JV682" i="99"/>
  <c r="JN682" i="99"/>
  <c r="JF682" i="99"/>
  <c r="IX682" i="99"/>
  <c r="IP682" i="99"/>
  <c r="IH682" i="99"/>
  <c r="MF682" i="99"/>
  <c r="LA682" i="99"/>
  <c r="KS682" i="99"/>
  <c r="KK682" i="99"/>
  <c r="KC682" i="99"/>
  <c r="JU682" i="99"/>
  <c r="JM682" i="99"/>
  <c r="JE682" i="99"/>
  <c r="IW682" i="99"/>
  <c r="IO682" i="99"/>
  <c r="IG682" i="99"/>
  <c r="KZ682" i="99"/>
  <c r="KR682" i="99"/>
  <c r="KJ682" i="99"/>
  <c r="KB682" i="99"/>
  <c r="JT682" i="99"/>
  <c r="JL682" i="99"/>
  <c r="JD682" i="99"/>
  <c r="IV682" i="99"/>
  <c r="IN682" i="99"/>
  <c r="IF682" i="99"/>
  <c r="MT682" i="99"/>
  <c r="KY682" i="99"/>
  <c r="KQ682" i="99"/>
  <c r="KI682" i="99"/>
  <c r="KA682" i="99"/>
  <c r="JS682" i="99"/>
  <c r="JK682" i="99"/>
  <c r="JC682" i="99"/>
  <c r="IU682" i="99"/>
  <c r="IM682" i="99"/>
  <c r="IE682" i="99"/>
  <c r="MS682" i="99"/>
  <c r="LF682" i="99"/>
  <c r="KX682" i="99"/>
  <c r="KP682" i="99"/>
  <c r="KH682" i="99"/>
  <c r="JZ682" i="99"/>
  <c r="JR682" i="99"/>
  <c r="JJ682" i="99"/>
  <c r="JB682" i="99"/>
  <c r="IT682" i="99"/>
  <c r="IL682" i="99"/>
  <c r="MQ660" i="99"/>
  <c r="J827" i="99"/>
  <c r="N832" i="99"/>
  <c r="N841" i="99"/>
  <c r="J845" i="99"/>
  <c r="O832" i="99"/>
  <c r="FZ661" i="99"/>
  <c r="N1446" i="99"/>
  <c r="J823" i="99"/>
  <c r="N823" i="99"/>
  <c r="L832" i="99"/>
  <c r="H836" i="99"/>
  <c r="P836" i="99"/>
  <c r="L841" i="99"/>
  <c r="P845" i="99"/>
  <c r="MM674" i="99"/>
  <c r="A675" i="99"/>
  <c r="MO676" i="99"/>
  <c r="KZ677" i="99"/>
  <c r="KY679" i="99"/>
  <c r="MP684" i="99"/>
  <c r="MG685" i="99"/>
  <c r="K823" i="99"/>
  <c r="O823" i="99"/>
  <c r="I827" i="99"/>
  <c r="Q827" i="99"/>
  <c r="M832" i="99"/>
  <c r="I836" i="99"/>
  <c r="Q836" i="99"/>
  <c r="M841" i="99"/>
  <c r="G413" i="99"/>
  <c r="Y1530" i="99"/>
  <c r="J469" i="99"/>
  <c r="J473" i="99" s="1"/>
  <c r="S445" i="99"/>
  <c r="L293" i="99"/>
  <c r="N293" i="99" s="1"/>
  <c r="M499" i="99"/>
  <c r="L294" i="99"/>
  <c r="N294" i="99" s="1"/>
  <c r="J492" i="99"/>
  <c r="L1834" i="99"/>
  <c r="Q1785" i="99"/>
  <c r="L1584" i="99"/>
  <c r="J1764" i="99"/>
  <c r="L1764" i="99" s="1"/>
  <c r="L613" i="99"/>
  <c r="EG661" i="99"/>
  <c r="GC661" i="99"/>
  <c r="FX661" i="99"/>
  <c r="GF661" i="99"/>
  <c r="CE661" i="99"/>
  <c r="FY661" i="99"/>
  <c r="ED661" i="99"/>
  <c r="J328" i="99"/>
  <c r="J351" i="99"/>
  <c r="G334" i="99"/>
  <c r="G402" i="99"/>
  <c r="F347" i="99"/>
  <c r="IF663" i="99"/>
  <c r="IQ663" i="99"/>
  <c r="JA663" i="99"/>
  <c r="JL663" i="99"/>
  <c r="JW663" i="99"/>
  <c r="KG663" i="99"/>
  <c r="KR663" i="99"/>
  <c r="LC663" i="99"/>
  <c r="IG663" i="99"/>
  <c r="IR663" i="99"/>
  <c r="JC663" i="99"/>
  <c r="JM663" i="99"/>
  <c r="JX663" i="99"/>
  <c r="KI663" i="99"/>
  <c r="KS663" i="99"/>
  <c r="LD663" i="99"/>
  <c r="II663" i="99"/>
  <c r="IS663" i="99"/>
  <c r="JD663" i="99"/>
  <c r="JO663" i="99"/>
  <c r="JY663" i="99"/>
  <c r="KJ663" i="99"/>
  <c r="KU663" i="99"/>
  <c r="LE663" i="99"/>
  <c r="IJ663" i="99"/>
  <c r="IU663" i="99"/>
  <c r="JE663" i="99"/>
  <c r="JP663" i="99"/>
  <c r="KA663" i="99"/>
  <c r="KK663" i="99"/>
  <c r="KV663" i="99"/>
  <c r="MF663" i="99"/>
  <c r="MQ663" i="99"/>
  <c r="IK663" i="99"/>
  <c r="IV663" i="99"/>
  <c r="JG663" i="99"/>
  <c r="JQ663" i="99"/>
  <c r="KB663" i="99"/>
  <c r="KM663" i="99"/>
  <c r="KW663" i="99"/>
  <c r="MG663" i="99"/>
  <c r="MR663" i="99"/>
  <c r="IM663" i="99"/>
  <c r="IW663" i="99"/>
  <c r="JH663" i="99"/>
  <c r="JS663" i="99"/>
  <c r="KC663" i="99"/>
  <c r="KC687" i="99" s="1"/>
  <c r="K767" i="99" s="1"/>
  <c r="KN663" i="99"/>
  <c r="KY663" i="99"/>
  <c r="MI663" i="99"/>
  <c r="MS663" i="99"/>
  <c r="IN663" i="99"/>
  <c r="IY663" i="99"/>
  <c r="JI663" i="99"/>
  <c r="JT663" i="99"/>
  <c r="KE663" i="99"/>
  <c r="KO663" i="99"/>
  <c r="KZ663" i="99"/>
  <c r="IJ660" i="99"/>
  <c r="IR660" i="99"/>
  <c r="IZ660" i="99"/>
  <c r="JH660" i="99"/>
  <c r="JP660" i="99"/>
  <c r="JX660" i="99"/>
  <c r="KF660" i="99"/>
  <c r="KN660" i="99"/>
  <c r="KV660" i="99"/>
  <c r="LD660" i="99"/>
  <c r="MJ660" i="99"/>
  <c r="MR660" i="99"/>
  <c r="IL660" i="99"/>
  <c r="IT660" i="99"/>
  <c r="JB660" i="99"/>
  <c r="JJ660" i="99"/>
  <c r="JR660" i="99"/>
  <c r="JZ660" i="99"/>
  <c r="KH660" i="99"/>
  <c r="KP660" i="99"/>
  <c r="KX660" i="99"/>
  <c r="LF660" i="99"/>
  <c r="MT660" i="99"/>
  <c r="IE660" i="99"/>
  <c r="IM660" i="99"/>
  <c r="IU660" i="99"/>
  <c r="JC660" i="99"/>
  <c r="JK660" i="99"/>
  <c r="JS660" i="99"/>
  <c r="KA660" i="99"/>
  <c r="KI660" i="99"/>
  <c r="KQ660" i="99"/>
  <c r="KY660" i="99"/>
  <c r="IF660" i="99"/>
  <c r="IN660" i="99"/>
  <c r="IV660" i="99"/>
  <c r="JD660" i="99"/>
  <c r="JL660" i="99"/>
  <c r="JT660" i="99"/>
  <c r="KB660" i="99"/>
  <c r="KJ660" i="99"/>
  <c r="KR660" i="99"/>
  <c r="KZ660" i="99"/>
  <c r="MF660" i="99"/>
  <c r="IG660" i="99"/>
  <c r="IO660" i="99"/>
  <c r="IW660" i="99"/>
  <c r="JE660" i="99"/>
  <c r="JM660" i="99"/>
  <c r="JU660" i="99"/>
  <c r="KC660" i="99"/>
  <c r="KK660" i="99"/>
  <c r="KS660" i="99"/>
  <c r="LA660" i="99"/>
  <c r="MG660" i="99"/>
  <c r="IH660" i="99"/>
  <c r="IP660" i="99"/>
  <c r="IX660" i="99"/>
  <c r="JF660" i="99"/>
  <c r="JN660" i="99"/>
  <c r="JV660" i="99"/>
  <c r="KD660" i="99"/>
  <c r="KL660" i="99"/>
  <c r="KT660" i="99"/>
  <c r="LB660" i="99"/>
  <c r="MH660" i="99"/>
  <c r="MP660" i="99"/>
  <c r="II660" i="99"/>
  <c r="IQ660" i="99"/>
  <c r="IY660" i="99"/>
  <c r="JG660" i="99"/>
  <c r="JO660" i="99"/>
  <c r="JW660" i="99"/>
  <c r="KE660" i="99"/>
  <c r="KM660" i="99"/>
  <c r="KU660" i="99"/>
  <c r="LC660" i="99"/>
  <c r="MI660" i="99"/>
  <c r="MM659" i="99"/>
  <c r="E687" i="99"/>
  <c r="FW659" i="99"/>
  <c r="GE659" i="99"/>
  <c r="IE659" i="99"/>
  <c r="IM659" i="99"/>
  <c r="IU659" i="99"/>
  <c r="JC659" i="99"/>
  <c r="JK659" i="99"/>
  <c r="JS659" i="99"/>
  <c r="KA659" i="99"/>
  <c r="KI659" i="99"/>
  <c r="KQ659" i="99"/>
  <c r="KY659" i="99"/>
  <c r="MF659" i="99"/>
  <c r="MN659" i="99"/>
  <c r="LY659" i="99"/>
  <c r="CC659" i="99"/>
  <c r="FY659" i="99"/>
  <c r="HQ659" i="99"/>
  <c r="IG659" i="99"/>
  <c r="IO659" i="99"/>
  <c r="IW659" i="99"/>
  <c r="JE659" i="99"/>
  <c r="JM659" i="99"/>
  <c r="JU659" i="99"/>
  <c r="KC659" i="99"/>
  <c r="KK659" i="99"/>
  <c r="KS659" i="99"/>
  <c r="LA659" i="99"/>
  <c r="MH659" i="99"/>
  <c r="MP659" i="99"/>
  <c r="ED659" i="99"/>
  <c r="FZ659" i="99"/>
  <c r="HZ659" i="99"/>
  <c r="IH659" i="99"/>
  <c r="IP659" i="99"/>
  <c r="IX659" i="99"/>
  <c r="JF659" i="99"/>
  <c r="JN659" i="99"/>
  <c r="JV659" i="99"/>
  <c r="KD659" i="99"/>
  <c r="KL659" i="99"/>
  <c r="KT659" i="99"/>
  <c r="LB659" i="99"/>
  <c r="MI659" i="99"/>
  <c r="MQ659" i="99"/>
  <c r="EE659" i="99"/>
  <c r="GA659" i="99"/>
  <c r="IA659" i="99"/>
  <c r="II659" i="99"/>
  <c r="IQ659" i="99"/>
  <c r="IY659" i="99"/>
  <c r="JG659" i="99"/>
  <c r="JO659" i="99"/>
  <c r="JW659" i="99"/>
  <c r="KE659" i="99"/>
  <c r="KM659" i="99"/>
  <c r="KU659" i="99"/>
  <c r="LC659" i="99"/>
  <c r="MJ659" i="99"/>
  <c r="MR659" i="99"/>
  <c r="EF659" i="99"/>
  <c r="GB659" i="99"/>
  <c r="IB659" i="99"/>
  <c r="IJ659" i="99"/>
  <c r="IR659" i="99"/>
  <c r="IZ659" i="99"/>
  <c r="JH659" i="99"/>
  <c r="JP659" i="99"/>
  <c r="JX659" i="99"/>
  <c r="KF659" i="99"/>
  <c r="KN659" i="99"/>
  <c r="KV659" i="99"/>
  <c r="LD659" i="99"/>
  <c r="MK659" i="99"/>
  <c r="MS659" i="99"/>
  <c r="EG659" i="99"/>
  <c r="GC659" i="99"/>
  <c r="IC659" i="99"/>
  <c r="IK659" i="99"/>
  <c r="IS659" i="99"/>
  <c r="JA659" i="99"/>
  <c r="JI659" i="99"/>
  <c r="JQ659" i="99"/>
  <c r="JY659" i="99"/>
  <c r="KG659" i="99"/>
  <c r="KO659" i="99"/>
  <c r="KW659" i="99"/>
  <c r="LE659" i="99"/>
  <c r="ML659" i="99"/>
  <c r="MT659" i="99"/>
  <c r="EH659" i="99"/>
  <c r="GD659" i="99"/>
  <c r="ID659" i="99"/>
  <c r="IL659" i="99"/>
  <c r="IT659" i="99"/>
  <c r="JB659" i="99"/>
  <c r="JJ659" i="99"/>
  <c r="JR659" i="99"/>
  <c r="JZ659" i="99"/>
  <c r="KH659" i="99"/>
  <c r="KP659" i="99"/>
  <c r="KX659" i="99"/>
  <c r="LF659" i="99"/>
  <c r="FA656" i="99"/>
  <c r="CS659" i="99"/>
  <c r="EO659" i="99"/>
  <c r="DI659" i="99"/>
  <c r="FE659" i="99"/>
  <c r="DY659" i="99"/>
  <c r="FU659" i="99"/>
  <c r="AG659" i="99"/>
  <c r="AW659" i="99"/>
  <c r="GK659" i="99"/>
  <c r="LI659" i="99"/>
  <c r="BM659" i="99"/>
  <c r="HA659" i="99"/>
  <c r="AB1540" i="99"/>
  <c r="X1540" i="99"/>
  <c r="AA1540" i="99"/>
  <c r="D351" i="99"/>
  <c r="M328" i="99"/>
  <c r="A395" i="99"/>
  <c r="G346" i="99"/>
  <c r="P346" i="99"/>
  <c r="J437" i="99"/>
  <c r="S437" i="99"/>
  <c r="J501" i="99"/>
  <c r="E418" i="99" s="1"/>
  <c r="S402" i="99"/>
  <c r="AB1541" i="99"/>
  <c r="AA1541" i="99"/>
  <c r="A412" i="99"/>
  <c r="P437" i="99"/>
  <c r="X1537" i="99"/>
  <c r="L1742" i="99"/>
  <c r="L275" i="99"/>
  <c r="A326" i="99"/>
  <c r="U326" i="99"/>
  <c r="U382" i="99"/>
  <c r="G430" i="99"/>
  <c r="P328" i="99"/>
  <c r="L1695" i="99"/>
  <c r="Y1533" i="99"/>
  <c r="AB1544" i="99"/>
  <c r="AC1544" i="99"/>
  <c r="AA1544" i="99"/>
  <c r="Z1544" i="99"/>
  <c r="X1544" i="99"/>
  <c r="A437" i="99"/>
  <c r="F1522" i="99" s="1"/>
  <c r="L1887" i="99"/>
  <c r="AA1546" i="99"/>
  <c r="LK673" i="99"/>
  <c r="HW674" i="99"/>
  <c r="IG674" i="99"/>
  <c r="IO674" i="99"/>
  <c r="IW674" i="99"/>
  <c r="JE674" i="99"/>
  <c r="JM674" i="99"/>
  <c r="JU674" i="99"/>
  <c r="KC674" i="99"/>
  <c r="KK674" i="99"/>
  <c r="KS674" i="99"/>
  <c r="LA674" i="99"/>
  <c r="MF674" i="99"/>
  <c r="MN674" i="99"/>
  <c r="HZ676" i="99"/>
  <c r="IH676" i="99"/>
  <c r="IP676" i="99"/>
  <c r="IX676" i="99"/>
  <c r="JF676" i="99"/>
  <c r="JN676" i="99"/>
  <c r="JV676" i="99"/>
  <c r="KD676" i="99"/>
  <c r="KL676" i="99"/>
  <c r="KT676" i="99"/>
  <c r="LB676" i="99"/>
  <c r="MH676" i="99"/>
  <c r="MP676" i="99"/>
  <c r="IK677" i="99"/>
  <c r="IS677" i="99"/>
  <c r="JA677" i="99"/>
  <c r="JI677" i="99"/>
  <c r="JQ677" i="99"/>
  <c r="KA677" i="99"/>
  <c r="KL677" i="99"/>
  <c r="IT679" i="99"/>
  <c r="JZ679" i="99"/>
  <c r="LF679" i="99"/>
  <c r="GU684" i="99"/>
  <c r="JE684" i="99"/>
  <c r="KK684" i="99"/>
  <c r="IV685" i="99"/>
  <c r="KB685" i="99"/>
  <c r="MS677" i="99"/>
  <c r="MK677" i="99"/>
  <c r="MR677" i="99"/>
  <c r="MJ677" i="99"/>
  <c r="MP677" i="99"/>
  <c r="MH677" i="99"/>
  <c r="MT677" i="99"/>
  <c r="ML677" i="99"/>
  <c r="MS679" i="99"/>
  <c r="MK679" i="99"/>
  <c r="LD679" i="99"/>
  <c r="KV679" i="99"/>
  <c r="KN679" i="99"/>
  <c r="KF679" i="99"/>
  <c r="JX679" i="99"/>
  <c r="JP679" i="99"/>
  <c r="JH679" i="99"/>
  <c r="IZ679" i="99"/>
  <c r="IR679" i="99"/>
  <c r="IJ679" i="99"/>
  <c r="IB679" i="99"/>
  <c r="GA679" i="99"/>
  <c r="EE679" i="99"/>
  <c r="MR679" i="99"/>
  <c r="MJ679" i="99"/>
  <c r="LC679" i="99"/>
  <c r="KU679" i="99"/>
  <c r="KM679" i="99"/>
  <c r="KE679" i="99"/>
  <c r="JW679" i="99"/>
  <c r="JO679" i="99"/>
  <c r="JG679" i="99"/>
  <c r="IY679" i="99"/>
  <c r="IQ679" i="99"/>
  <c r="II679" i="99"/>
  <c r="IA679" i="99"/>
  <c r="FZ679" i="99"/>
  <c r="ED679" i="99"/>
  <c r="MQ679" i="99"/>
  <c r="MI679" i="99"/>
  <c r="LB679" i="99"/>
  <c r="KT679" i="99"/>
  <c r="KL679" i="99"/>
  <c r="KD679" i="99"/>
  <c r="JV679" i="99"/>
  <c r="JN679" i="99"/>
  <c r="JF679" i="99"/>
  <c r="IX679" i="99"/>
  <c r="IP679" i="99"/>
  <c r="IH679" i="99"/>
  <c r="HZ679" i="99"/>
  <c r="FY679" i="99"/>
  <c r="MP679" i="99"/>
  <c r="MH679" i="99"/>
  <c r="LA679" i="99"/>
  <c r="KS679" i="99"/>
  <c r="KK679" i="99"/>
  <c r="KC679" i="99"/>
  <c r="JU679" i="99"/>
  <c r="JM679" i="99"/>
  <c r="JE679" i="99"/>
  <c r="IW679" i="99"/>
  <c r="IO679" i="99"/>
  <c r="IG679" i="99"/>
  <c r="GF679" i="99"/>
  <c r="FX679" i="99"/>
  <c r="MO679" i="99"/>
  <c r="MG679" i="99"/>
  <c r="KZ679" i="99"/>
  <c r="KR679" i="99"/>
  <c r="KJ679" i="99"/>
  <c r="KB679" i="99"/>
  <c r="JT679" i="99"/>
  <c r="JL679" i="99"/>
  <c r="JD679" i="99"/>
  <c r="IV679" i="99"/>
  <c r="IN679" i="99"/>
  <c r="IF679" i="99"/>
  <c r="GE679" i="99"/>
  <c r="FW679" i="99"/>
  <c r="MT679" i="99"/>
  <c r="ML679" i="99"/>
  <c r="LE679" i="99"/>
  <c r="KW679" i="99"/>
  <c r="KO679" i="99"/>
  <c r="KG679" i="99"/>
  <c r="JY679" i="99"/>
  <c r="JQ679" i="99"/>
  <c r="JI679" i="99"/>
  <c r="JA679" i="99"/>
  <c r="IS679" i="99"/>
  <c r="IK679" i="99"/>
  <c r="IC679" i="99"/>
  <c r="GB679" i="99"/>
  <c r="EF679" i="99"/>
  <c r="MG680" i="99"/>
  <c r="KZ680" i="99"/>
  <c r="KR680" i="99"/>
  <c r="KJ680" i="99"/>
  <c r="KB680" i="99"/>
  <c r="JT680" i="99"/>
  <c r="JL680" i="99"/>
  <c r="JD680" i="99"/>
  <c r="IV680" i="99"/>
  <c r="IN680" i="99"/>
  <c r="IF680" i="99"/>
  <c r="MF680" i="99"/>
  <c r="KY680" i="99"/>
  <c r="KQ680" i="99"/>
  <c r="KI680" i="99"/>
  <c r="KA680" i="99"/>
  <c r="JS680" i="99"/>
  <c r="JK680" i="99"/>
  <c r="JC680" i="99"/>
  <c r="IU680" i="99"/>
  <c r="IM680" i="99"/>
  <c r="IE680" i="99"/>
  <c r="LF680" i="99"/>
  <c r="KX680" i="99"/>
  <c r="KP680" i="99"/>
  <c r="KH680" i="99"/>
  <c r="JZ680" i="99"/>
  <c r="JR680" i="99"/>
  <c r="JJ680" i="99"/>
  <c r="JB680" i="99"/>
  <c r="IT680" i="99"/>
  <c r="IL680" i="99"/>
  <c r="MT680" i="99"/>
  <c r="LE680" i="99"/>
  <c r="KW680" i="99"/>
  <c r="KO680" i="99"/>
  <c r="KG680" i="99"/>
  <c r="JY680" i="99"/>
  <c r="JQ680" i="99"/>
  <c r="JI680" i="99"/>
  <c r="JA680" i="99"/>
  <c r="IS680" i="99"/>
  <c r="IK680" i="99"/>
  <c r="MS680" i="99"/>
  <c r="LD680" i="99"/>
  <c r="KV680" i="99"/>
  <c r="KN680" i="99"/>
  <c r="KF680" i="99"/>
  <c r="JX680" i="99"/>
  <c r="JP680" i="99"/>
  <c r="JH680" i="99"/>
  <c r="IZ680" i="99"/>
  <c r="IR680" i="99"/>
  <c r="IJ680" i="99"/>
  <c r="MP680" i="99"/>
  <c r="MH680" i="99"/>
  <c r="LA680" i="99"/>
  <c r="KS680" i="99"/>
  <c r="KK680" i="99"/>
  <c r="KC680" i="99"/>
  <c r="JU680" i="99"/>
  <c r="JM680" i="99"/>
  <c r="JE680" i="99"/>
  <c r="IW680" i="99"/>
  <c r="IO680" i="99"/>
  <c r="IG680" i="99"/>
  <c r="MT685" i="99"/>
  <c r="ML685" i="99"/>
  <c r="MS685" i="99"/>
  <c r="MK685" i="99"/>
  <c r="MR685" i="99"/>
  <c r="MJ685" i="99"/>
  <c r="MQ685" i="99"/>
  <c r="MI685" i="99"/>
  <c r="MP685" i="99"/>
  <c r="MH685" i="99"/>
  <c r="MM685" i="99"/>
  <c r="HS676" i="99"/>
  <c r="LE677" i="99"/>
  <c r="KW677" i="99"/>
  <c r="KO677" i="99"/>
  <c r="KG677" i="99"/>
  <c r="LD677" i="99"/>
  <c r="KV677" i="99"/>
  <c r="KN677" i="99"/>
  <c r="KF677" i="99"/>
  <c r="JX677" i="99"/>
  <c r="LB677" i="99"/>
  <c r="LF677" i="99"/>
  <c r="KX677" i="99"/>
  <c r="KP677" i="99"/>
  <c r="KH677" i="99"/>
  <c r="JZ677" i="99"/>
  <c r="MM684" i="99"/>
  <c r="LF684" i="99"/>
  <c r="KX684" i="99"/>
  <c r="KP684" i="99"/>
  <c r="KH684" i="99"/>
  <c r="JZ684" i="99"/>
  <c r="JR684" i="99"/>
  <c r="JJ684" i="99"/>
  <c r="JB684" i="99"/>
  <c r="IT684" i="99"/>
  <c r="IL684" i="99"/>
  <c r="ID684" i="99"/>
  <c r="BN684" i="99"/>
  <c r="MT684" i="99"/>
  <c r="ML684" i="99"/>
  <c r="LE684" i="99"/>
  <c r="KW684" i="99"/>
  <c r="KO684" i="99"/>
  <c r="KG684" i="99"/>
  <c r="JY684" i="99"/>
  <c r="JQ684" i="99"/>
  <c r="JI684" i="99"/>
  <c r="JA684" i="99"/>
  <c r="IS684" i="99"/>
  <c r="IK684" i="99"/>
  <c r="IC684" i="99"/>
  <c r="A684" i="99"/>
  <c r="MS684" i="99"/>
  <c r="MK684" i="99"/>
  <c r="LD684" i="99"/>
  <c r="KV684" i="99"/>
  <c r="KN684" i="99"/>
  <c r="KF684" i="99"/>
  <c r="JX684" i="99"/>
  <c r="JP684" i="99"/>
  <c r="JH684" i="99"/>
  <c r="IZ684" i="99"/>
  <c r="IR684" i="99"/>
  <c r="IJ684" i="99"/>
  <c r="IB684" i="99"/>
  <c r="MR684" i="99"/>
  <c r="MJ684" i="99"/>
  <c r="LC684" i="99"/>
  <c r="KU684" i="99"/>
  <c r="KM684" i="99"/>
  <c r="KE684" i="99"/>
  <c r="JW684" i="99"/>
  <c r="JO684" i="99"/>
  <c r="JG684" i="99"/>
  <c r="IY684" i="99"/>
  <c r="IQ684" i="99"/>
  <c r="II684" i="99"/>
  <c r="IA684" i="99"/>
  <c r="MQ684" i="99"/>
  <c r="MI684" i="99"/>
  <c r="LB684" i="99"/>
  <c r="KT684" i="99"/>
  <c r="KL684" i="99"/>
  <c r="KD684" i="99"/>
  <c r="JV684" i="99"/>
  <c r="JN684" i="99"/>
  <c r="JF684" i="99"/>
  <c r="IX684" i="99"/>
  <c r="IP684" i="99"/>
  <c r="IH684" i="99"/>
  <c r="HZ684" i="99"/>
  <c r="MN684" i="99"/>
  <c r="MF684" i="99"/>
  <c r="KY684" i="99"/>
  <c r="KQ684" i="99"/>
  <c r="KI684" i="99"/>
  <c r="KA684" i="99"/>
  <c r="JS684" i="99"/>
  <c r="JK684" i="99"/>
  <c r="JC684" i="99"/>
  <c r="IU684" i="99"/>
  <c r="IM684" i="99"/>
  <c r="IE684" i="99"/>
  <c r="DF684" i="99"/>
  <c r="LE685" i="99"/>
  <c r="KW685" i="99"/>
  <c r="KO685" i="99"/>
  <c r="KG685" i="99"/>
  <c r="JY685" i="99"/>
  <c r="JQ685" i="99"/>
  <c r="JI685" i="99"/>
  <c r="JA685" i="99"/>
  <c r="IS685" i="99"/>
  <c r="IK685" i="99"/>
  <c r="LD685" i="99"/>
  <c r="KV685" i="99"/>
  <c r="KN685" i="99"/>
  <c r="KF685" i="99"/>
  <c r="JX685" i="99"/>
  <c r="JP685" i="99"/>
  <c r="JH685" i="99"/>
  <c r="IZ685" i="99"/>
  <c r="IR685" i="99"/>
  <c r="IJ685" i="99"/>
  <c r="LC685" i="99"/>
  <c r="KU685" i="99"/>
  <c r="KM685" i="99"/>
  <c r="KE685" i="99"/>
  <c r="JW685" i="99"/>
  <c r="JO685" i="99"/>
  <c r="JG685" i="99"/>
  <c r="IY685" i="99"/>
  <c r="IQ685" i="99"/>
  <c r="II685" i="99"/>
  <c r="LB685" i="99"/>
  <c r="KT685" i="99"/>
  <c r="KL685" i="99"/>
  <c r="KD685" i="99"/>
  <c r="JV685" i="99"/>
  <c r="JN685" i="99"/>
  <c r="JF685" i="99"/>
  <c r="IX685" i="99"/>
  <c r="IP685" i="99"/>
  <c r="IH685" i="99"/>
  <c r="LA685" i="99"/>
  <c r="KS685" i="99"/>
  <c r="KK685" i="99"/>
  <c r="KC685" i="99"/>
  <c r="JU685" i="99"/>
  <c r="JM685" i="99"/>
  <c r="JE685" i="99"/>
  <c r="IW685" i="99"/>
  <c r="IO685" i="99"/>
  <c r="IG685" i="99"/>
  <c r="LF685" i="99"/>
  <c r="KX685" i="99"/>
  <c r="KP685" i="99"/>
  <c r="KH685" i="99"/>
  <c r="JZ685" i="99"/>
  <c r="JR685" i="99"/>
  <c r="JJ685" i="99"/>
  <c r="JB685" i="99"/>
  <c r="IT685" i="99"/>
  <c r="IL685" i="99"/>
  <c r="IG684" i="99"/>
  <c r="JM684" i="99"/>
  <c r="KS684" i="99"/>
  <c r="JD685" i="99"/>
  <c r="KJ685" i="99"/>
  <c r="K1171" i="99"/>
  <c r="J1171" i="99"/>
  <c r="I1171" i="99"/>
  <c r="H1171" i="99"/>
  <c r="F1171" i="99"/>
  <c r="S328" i="99"/>
  <c r="U325" i="99"/>
  <c r="S338" i="99"/>
  <c r="M630" i="99"/>
  <c r="MI674" i="99"/>
  <c r="BO676" i="99"/>
  <c r="IC676" i="99"/>
  <c r="IK676" i="99"/>
  <c r="IS676" i="99"/>
  <c r="JA676" i="99"/>
  <c r="JI676" i="99"/>
  <c r="JQ676" i="99"/>
  <c r="JY676" i="99"/>
  <c r="KG676" i="99"/>
  <c r="KO676" i="99"/>
  <c r="KW676" i="99"/>
  <c r="LE676" i="99"/>
  <c r="MK676" i="99"/>
  <c r="MS676" i="99"/>
  <c r="IF677" i="99"/>
  <c r="IN677" i="99"/>
  <c r="IV677" i="99"/>
  <c r="JD677" i="99"/>
  <c r="JL677" i="99"/>
  <c r="JT677" i="99"/>
  <c r="KD677" i="99"/>
  <c r="KR677" i="99"/>
  <c r="JC679" i="99"/>
  <c r="KI679" i="99"/>
  <c r="MN679" i="99"/>
  <c r="IN684" i="99"/>
  <c r="JT684" i="99"/>
  <c r="KZ684" i="99"/>
  <c r="IE685" i="99"/>
  <c r="JK685" i="99"/>
  <c r="KQ685" i="99"/>
  <c r="B688" i="99"/>
  <c r="E688" i="99"/>
  <c r="GE667" i="99"/>
  <c r="O267" i="72"/>
  <c r="O1758" i="99" s="1"/>
  <c r="O1752" i="99"/>
  <c r="O404" i="72"/>
  <c r="O1895" i="99" s="1"/>
  <c r="Y1547" i="99" s="1"/>
  <c r="O1900" i="99"/>
  <c r="V456" i="99"/>
  <c r="G328" i="99"/>
  <c r="A381" i="99"/>
  <c r="J396" i="99"/>
  <c r="M437" i="99"/>
  <c r="S454" i="99"/>
  <c r="AP670" i="99"/>
  <c r="IK674" i="99"/>
  <c r="IS674" i="99"/>
  <c r="JA674" i="99"/>
  <c r="JI674" i="99"/>
  <c r="JQ674" i="99"/>
  <c r="JY674" i="99"/>
  <c r="KG674" i="99"/>
  <c r="KO674" i="99"/>
  <c r="KW674" i="99"/>
  <c r="LE674" i="99"/>
  <c r="MJ674" i="99"/>
  <c r="MR674" i="99"/>
  <c r="CU676" i="99"/>
  <c r="ID676" i="99"/>
  <c r="IL676" i="99"/>
  <c r="IT676" i="99"/>
  <c r="JB676" i="99"/>
  <c r="JJ676" i="99"/>
  <c r="JR676" i="99"/>
  <c r="JZ676" i="99"/>
  <c r="KH676" i="99"/>
  <c r="KP676" i="99"/>
  <c r="KX676" i="99"/>
  <c r="LF676" i="99"/>
  <c r="ML676" i="99"/>
  <c r="MT676" i="99"/>
  <c r="IG677" i="99"/>
  <c r="IO677" i="99"/>
  <c r="IW677" i="99"/>
  <c r="JE677" i="99"/>
  <c r="JM677" i="99"/>
  <c r="JU677" i="99"/>
  <c r="KE677" i="99"/>
  <c r="KS677" i="99"/>
  <c r="MF677" i="99"/>
  <c r="ID679" i="99"/>
  <c r="JJ679" i="99"/>
  <c r="KP679" i="99"/>
  <c r="IO684" i="99"/>
  <c r="JU684" i="99"/>
  <c r="LA684" i="99"/>
  <c r="IF685" i="99"/>
  <c r="JL685" i="99"/>
  <c r="KR685" i="99"/>
  <c r="F1521" i="99"/>
  <c r="AD435" i="99"/>
  <c r="G351" i="99"/>
  <c r="J402" i="99"/>
  <c r="G445" i="99"/>
  <c r="I613" i="99"/>
  <c r="K613" i="99"/>
  <c r="BS670" i="99"/>
  <c r="IL674" i="99"/>
  <c r="IT674" i="99"/>
  <c r="JB674" i="99"/>
  <c r="JJ674" i="99"/>
  <c r="JR674" i="99"/>
  <c r="JZ674" i="99"/>
  <c r="KH674" i="99"/>
  <c r="KP674" i="99"/>
  <c r="KX674" i="99"/>
  <c r="LF674" i="99"/>
  <c r="MK674" i="99"/>
  <c r="MS674" i="99"/>
  <c r="EA676" i="99"/>
  <c r="IE676" i="99"/>
  <c r="IM676" i="99"/>
  <c r="IU676" i="99"/>
  <c r="JC676" i="99"/>
  <c r="JK676" i="99"/>
  <c r="JS676" i="99"/>
  <c r="KA676" i="99"/>
  <c r="KI676" i="99"/>
  <c r="KQ676" i="99"/>
  <c r="KY676" i="99"/>
  <c r="LK676" i="99"/>
  <c r="MM676" i="99"/>
  <c r="IH677" i="99"/>
  <c r="IP677" i="99"/>
  <c r="IX677" i="99"/>
  <c r="JF677" i="99"/>
  <c r="JN677" i="99"/>
  <c r="JV677" i="99"/>
  <c r="KI677" i="99"/>
  <c r="KT677" i="99"/>
  <c r="MG677" i="99"/>
  <c r="IE679" i="99"/>
  <c r="JK679" i="99"/>
  <c r="KQ679" i="99"/>
  <c r="IV684" i="99"/>
  <c r="KB684" i="99"/>
  <c r="MG684" i="99"/>
  <c r="IM685" i="99"/>
  <c r="JS685" i="99"/>
  <c r="KY685" i="99"/>
  <c r="J346" i="99"/>
  <c r="S346" i="99"/>
  <c r="S413" i="99"/>
  <c r="J454" i="99"/>
  <c r="IE668" i="99"/>
  <c r="IM668" i="99"/>
  <c r="IU668" i="99"/>
  <c r="JC668" i="99"/>
  <c r="JK668" i="99"/>
  <c r="JS668" i="99"/>
  <c r="KA668" i="99"/>
  <c r="KI668" i="99"/>
  <c r="KQ668" i="99"/>
  <c r="KY668" i="99"/>
  <c r="MM668" i="99"/>
  <c r="CU670" i="99"/>
  <c r="AG673" i="99"/>
  <c r="BM673" i="99"/>
  <c r="CS673" i="99"/>
  <c r="EB673" i="99"/>
  <c r="EV673" i="99"/>
  <c r="FZ673" i="99"/>
  <c r="GQ673" i="99"/>
  <c r="GQ674" i="99"/>
  <c r="IE674" i="99"/>
  <c r="IM674" i="99"/>
  <c r="IU674" i="99"/>
  <c r="JC674" i="99"/>
  <c r="JK674" i="99"/>
  <c r="JS674" i="99"/>
  <c r="KA674" i="99"/>
  <c r="KI674" i="99"/>
  <c r="KQ674" i="99"/>
  <c r="KY674" i="99"/>
  <c r="ML674" i="99"/>
  <c r="MT674" i="99"/>
  <c r="FG676" i="99"/>
  <c r="IF676" i="99"/>
  <c r="IN676" i="99"/>
  <c r="IV676" i="99"/>
  <c r="JD676" i="99"/>
  <c r="JL676" i="99"/>
  <c r="JT676" i="99"/>
  <c r="KB676" i="99"/>
  <c r="KJ676" i="99"/>
  <c r="KR676" i="99"/>
  <c r="KZ676" i="99"/>
  <c r="MF676" i="99"/>
  <c r="MN676" i="99"/>
  <c r="II677" i="99"/>
  <c r="IQ677" i="99"/>
  <c r="IY677" i="99"/>
  <c r="JG677" i="99"/>
  <c r="JO677" i="99"/>
  <c r="JW677" i="99"/>
  <c r="KJ677" i="99"/>
  <c r="KU677" i="99"/>
  <c r="MI677" i="99"/>
  <c r="IL679" i="99"/>
  <c r="JR679" i="99"/>
  <c r="KX679" i="99"/>
  <c r="IW684" i="99"/>
  <c r="KC684" i="99"/>
  <c r="MH684" i="99"/>
  <c r="IN685" i="99"/>
  <c r="JT685" i="99"/>
  <c r="KZ685" i="99"/>
  <c r="A327" i="99"/>
  <c r="S424" i="99"/>
  <c r="K630" i="99"/>
  <c r="I630" i="99"/>
  <c r="L630" i="99"/>
  <c r="IF668" i="99"/>
  <c r="IN668" i="99"/>
  <c r="IV668" i="99"/>
  <c r="JD668" i="99"/>
  <c r="JL668" i="99"/>
  <c r="JT668" i="99"/>
  <c r="KB668" i="99"/>
  <c r="KJ668" i="99"/>
  <c r="KR668" i="99"/>
  <c r="KZ668" i="99"/>
  <c r="MF668" i="99"/>
  <c r="AK673" i="99"/>
  <c r="BQ673" i="99"/>
  <c r="CW673" i="99"/>
  <c r="ED673" i="99"/>
  <c r="FB673" i="99"/>
  <c r="GA673" i="99"/>
  <c r="HG674" i="99"/>
  <c r="IF674" i="99"/>
  <c r="IN674" i="99"/>
  <c r="IV674" i="99"/>
  <c r="JD674" i="99"/>
  <c r="JL674" i="99"/>
  <c r="JT674" i="99"/>
  <c r="KB674" i="99"/>
  <c r="KJ674" i="99"/>
  <c r="KR674" i="99"/>
  <c r="ME674" i="99"/>
  <c r="GM676" i="99"/>
  <c r="IG676" i="99"/>
  <c r="IO676" i="99"/>
  <c r="IW676" i="99"/>
  <c r="JE676" i="99"/>
  <c r="JM676" i="99"/>
  <c r="JU676" i="99"/>
  <c r="KC676" i="99"/>
  <c r="KK676" i="99"/>
  <c r="KS676" i="99"/>
  <c r="LA676" i="99"/>
  <c r="MG676" i="99"/>
  <c r="IJ677" i="99"/>
  <c r="IR677" i="99"/>
  <c r="IZ677" i="99"/>
  <c r="JH677" i="99"/>
  <c r="JP677" i="99"/>
  <c r="JY677" i="99"/>
  <c r="KK677" i="99"/>
  <c r="KY677" i="99"/>
  <c r="IM679" i="99"/>
  <c r="JS679" i="99"/>
  <c r="EU684" i="99"/>
  <c r="JD684" i="99"/>
  <c r="KJ684" i="99"/>
  <c r="MO684" i="99"/>
  <c r="IU685" i="99"/>
  <c r="KA685" i="99"/>
  <c r="MF685" i="99"/>
  <c r="GK651" i="99"/>
  <c r="LY652" i="99"/>
  <c r="L654" i="99"/>
  <c r="LX667" i="99"/>
  <c r="LW668" i="99"/>
  <c r="GX671" i="99"/>
  <c r="M845" i="99"/>
  <c r="F885" i="99"/>
  <c r="M650" i="99"/>
  <c r="MC650" i="99"/>
  <c r="LR666" i="99"/>
  <c r="MD673" i="99"/>
  <c r="LS674" i="99"/>
  <c r="I854" i="99"/>
  <c r="LJ683" i="99"/>
  <c r="P760" i="99"/>
  <c r="L885" i="99"/>
  <c r="Q1377" i="99"/>
  <c r="J841" i="99"/>
  <c r="N845" i="99"/>
  <c r="J854" i="99"/>
  <c r="GO677" i="99"/>
  <c r="CF678" i="99"/>
  <c r="LZ681" i="99"/>
  <c r="L869" i="99"/>
  <c r="L879" i="99"/>
  <c r="I845" i="99"/>
  <c r="Q845" i="99"/>
  <c r="F865" i="99"/>
  <c r="K1715" i="99"/>
  <c r="M1932" i="99"/>
  <c r="AA1550"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J383" i="99"/>
  <c r="G383" i="99"/>
  <c r="S383" i="99"/>
  <c r="P383" i="99"/>
  <c r="C359" i="99"/>
  <c r="B368" i="99" s="1"/>
  <c r="E350" i="99"/>
  <c r="A453" i="99"/>
  <c r="A422" i="99"/>
  <c r="U327" i="99"/>
  <c r="E348" i="99"/>
  <c r="G353" i="99"/>
  <c r="AF418" i="99"/>
  <c r="I302" i="99"/>
  <c r="P456" i="99" l="1"/>
  <c r="P472" i="99" s="1"/>
  <c r="P474" i="99" s="1"/>
  <c r="P476" i="99" s="1"/>
  <c r="MO687" i="99"/>
  <c r="JQ687" i="99"/>
  <c r="N777" i="99" s="1"/>
  <c r="N788" i="99" s="1"/>
  <c r="KM687" i="99"/>
  <c r="K770" i="99" s="1"/>
  <c r="JA687" i="99"/>
  <c r="M778" i="99" s="1"/>
  <c r="IR687" i="99"/>
  <c r="N780" i="99" s="1"/>
  <c r="MR687" i="99"/>
  <c r="IO687" i="99"/>
  <c r="K780" i="99" s="1"/>
  <c r="P780" i="99" s="1"/>
  <c r="JP687" i="99"/>
  <c r="M777" i="99" s="1"/>
  <c r="M788" i="99" s="1"/>
  <c r="JU687" i="99"/>
  <c r="M766" i="99" s="1"/>
  <c r="IV687" i="99"/>
  <c r="M781" i="99" s="1"/>
  <c r="MK687" i="99"/>
  <c r="KK687" i="99"/>
  <c r="N769" i="99" s="1"/>
  <c r="MJ687" i="99"/>
  <c r="IM687" i="99"/>
  <c r="N775" i="99" s="1"/>
  <c r="JC687" i="99"/>
  <c r="O778" i="99" s="1"/>
  <c r="P778" i="99" s="1"/>
  <c r="JY687" i="99"/>
  <c r="L768" i="99" s="1"/>
  <c r="AD437" i="99"/>
  <c r="JJ687" i="99"/>
  <c r="L776" i="99" s="1"/>
  <c r="L787" i="99" s="1"/>
  <c r="KB687" i="99"/>
  <c r="O768" i="99" s="1"/>
  <c r="IJ687" i="99"/>
  <c r="K775" i="99" s="1"/>
  <c r="JL687" i="99"/>
  <c r="N776" i="99" s="1"/>
  <c r="N787" i="99" s="1"/>
  <c r="LA687" i="99"/>
  <c r="O771" i="99" s="1"/>
  <c r="KR687" i="99"/>
  <c r="K772" i="99" s="1"/>
  <c r="K791" i="99" s="1"/>
  <c r="KV687" i="99"/>
  <c r="O772" i="99" s="1"/>
  <c r="JI687" i="99"/>
  <c r="K776" i="99" s="1"/>
  <c r="IF687" i="99"/>
  <c r="L774" i="99" s="1"/>
  <c r="KZ687" i="99"/>
  <c r="N771" i="99" s="1"/>
  <c r="KS687" i="99"/>
  <c r="L772" i="99" s="1"/>
  <c r="JH687" i="99"/>
  <c r="O779" i="99" s="1"/>
  <c r="JS687" i="99"/>
  <c r="K766" i="99" s="1"/>
  <c r="IG687" i="99"/>
  <c r="M774" i="99" s="1"/>
  <c r="LE687" i="99"/>
  <c r="N773" i="99" s="1"/>
  <c r="JW687" i="99"/>
  <c r="O766" i="99" s="1"/>
  <c r="JE687" i="99"/>
  <c r="L779" i="99" s="1"/>
  <c r="IY687" i="99"/>
  <c r="K778" i="99" s="1"/>
  <c r="LD687" i="99"/>
  <c r="M773" i="99" s="1"/>
  <c r="IB687" i="99"/>
  <c r="ML687" i="99"/>
  <c r="E349" i="99"/>
  <c r="E351" i="99" s="1"/>
  <c r="G347" i="99" s="1"/>
  <c r="KW687" i="99"/>
  <c r="K771" i="99" s="1"/>
  <c r="IA687" i="99"/>
  <c r="IS687" i="99"/>
  <c r="O780" i="99" s="1"/>
  <c r="IK687" i="99"/>
  <c r="L775" i="99" s="1"/>
  <c r="KN687" i="99"/>
  <c r="L770" i="99" s="1"/>
  <c r="JM687" i="99"/>
  <c r="O776" i="99" s="1"/>
  <c r="O787" i="99" s="1"/>
  <c r="IN687" i="99"/>
  <c r="O775" i="99" s="1"/>
  <c r="IP687" i="99"/>
  <c r="L780" i="99" s="1"/>
  <c r="L785" i="99" s="1"/>
  <c r="II687" i="99"/>
  <c r="O774" i="99" s="1"/>
  <c r="KU687" i="99"/>
  <c r="N772" i="99" s="1"/>
  <c r="MI687" i="99"/>
  <c r="KO687" i="99"/>
  <c r="M770" i="99" s="1"/>
  <c r="IT687" i="99"/>
  <c r="K781" i="99" s="1"/>
  <c r="JZ687" i="99"/>
  <c r="M768" i="99" s="1"/>
  <c r="LF687" i="99"/>
  <c r="O773" i="99" s="1"/>
  <c r="JR687" i="99"/>
  <c r="O777" i="99" s="1"/>
  <c r="O788" i="99" s="1"/>
  <c r="KQ687" i="99"/>
  <c r="O770" i="99" s="1"/>
  <c r="KY687" i="99"/>
  <c r="M771" i="99" s="1"/>
  <c r="MM687" i="99"/>
  <c r="MN687" i="99"/>
  <c r="JD687" i="99"/>
  <c r="K779" i="99" s="1"/>
  <c r="KG687" i="99"/>
  <c r="O767" i="99" s="1"/>
  <c r="JX687" i="99"/>
  <c r="K768" i="99" s="1"/>
  <c r="IQ687" i="99"/>
  <c r="M780" i="99" s="1"/>
  <c r="LC687" i="99"/>
  <c r="L773" i="99" s="1"/>
  <c r="IE687" i="99"/>
  <c r="K774" i="99" s="1"/>
  <c r="KJ687" i="99"/>
  <c r="M769" i="99" s="1"/>
  <c r="KA687" i="99"/>
  <c r="N768" i="99" s="1"/>
  <c r="M456" i="99"/>
  <c r="M472" i="99" s="1"/>
  <c r="M474" i="99" s="1"/>
  <c r="M476" i="99" s="1"/>
  <c r="KE687" i="99"/>
  <c r="M767" i="99" s="1"/>
  <c r="J456" i="99"/>
  <c r="J472" i="99" s="1"/>
  <c r="J474" i="99" s="1"/>
  <c r="J476" i="99" s="1"/>
  <c r="Q1758" i="99"/>
  <c r="S456" i="99"/>
  <c r="IX687" i="99"/>
  <c r="O781" i="99" s="1"/>
  <c r="KD687" i="99"/>
  <c r="L767" i="99" s="1"/>
  <c r="MG687" i="99"/>
  <c r="JG687" i="99"/>
  <c r="N779" i="99" s="1"/>
  <c r="JB687" i="99"/>
  <c r="N778" i="99" s="1"/>
  <c r="KF687" i="99"/>
  <c r="N767" i="99" s="1"/>
  <c r="MH687" i="99"/>
  <c r="IW687" i="99"/>
  <c r="N781" i="99" s="1"/>
  <c r="JT687" i="99"/>
  <c r="L766" i="99" s="1"/>
  <c r="L789" i="99" s="1"/>
  <c r="KI687" i="99"/>
  <c r="L769" i="99" s="1"/>
  <c r="LB687" i="99"/>
  <c r="K773" i="99" s="1"/>
  <c r="K792" i="99" s="1"/>
  <c r="KX687" i="99"/>
  <c r="L771" i="99" s="1"/>
  <c r="MQ687" i="99"/>
  <c r="JO687" i="99"/>
  <c r="L777" i="99" s="1"/>
  <c r="L788" i="99" s="1"/>
  <c r="IU687" i="99"/>
  <c r="L781" i="99" s="1"/>
  <c r="JF687" i="99"/>
  <c r="M779" i="99" s="1"/>
  <c r="M786" i="99" s="1"/>
  <c r="MF687" i="99"/>
  <c r="ID687" i="99"/>
  <c r="JK687" i="99"/>
  <c r="M776" i="99" s="1"/>
  <c r="M787" i="99" s="1"/>
  <c r="MT687" i="99"/>
  <c r="JV687" i="99"/>
  <c r="N766" i="99" s="1"/>
  <c r="GA687" i="99"/>
  <c r="EJ687" i="99"/>
  <c r="L795" i="99" s="1"/>
  <c r="LM687" i="99"/>
  <c r="Q1509" i="99"/>
  <c r="MA687" i="99"/>
  <c r="G456" i="99"/>
  <c r="J486" i="99" s="1"/>
  <c r="Z1547" i="99"/>
  <c r="BF687" i="99"/>
  <c r="O700" i="99" s="1"/>
  <c r="KT687" i="99"/>
  <c r="M772" i="99" s="1"/>
  <c r="FB687" i="99"/>
  <c r="O798" i="99" s="1"/>
  <c r="GC687" i="99"/>
  <c r="L805" i="99" s="1"/>
  <c r="AI687" i="99"/>
  <c r="L696" i="99" s="1"/>
  <c r="BA687" i="99"/>
  <c r="O699" i="99" s="1"/>
  <c r="CG687" i="99"/>
  <c r="L733" i="99" s="1"/>
  <c r="JN687" i="99"/>
  <c r="K777" i="99" s="1"/>
  <c r="HR687" i="99"/>
  <c r="M758" i="99" s="1"/>
  <c r="IH687" i="99"/>
  <c r="N774" i="99" s="1"/>
  <c r="N785" i="99" s="1"/>
  <c r="KP687" i="99"/>
  <c r="N770" i="99" s="1"/>
  <c r="KL687" i="99"/>
  <c r="O769" i="99" s="1"/>
  <c r="O765" i="99" s="1"/>
  <c r="MP687" i="99"/>
  <c r="A687" i="99"/>
  <c r="A644" i="99" s="1"/>
  <c r="HV687"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N792" i="99"/>
  <c r="M785" i="99"/>
  <c r="N786" i="99"/>
  <c r="M790" i="99"/>
  <c r="Q878" i="99"/>
  <c r="P878" i="99"/>
  <c r="L791" i="99"/>
  <c r="K787" i="99"/>
  <c r="P768" i="99"/>
  <c r="P775" i="99"/>
  <c r="K786" i="99"/>
  <c r="K785" i="99"/>
  <c r="N791" i="99"/>
  <c r="O791" i="99"/>
  <c r="O786" i="99"/>
  <c r="O789" i="99"/>
  <c r="M789" i="99"/>
  <c r="K789" i="99"/>
  <c r="L790" i="99"/>
  <c r="P767" i="99"/>
  <c r="K790" i="99"/>
  <c r="N790" i="99"/>
  <c r="N763" i="99"/>
  <c r="P771" i="99"/>
  <c r="O790" i="99"/>
  <c r="M792" i="99"/>
  <c r="F365" i="99"/>
  <c r="K32" i="66"/>
  <c r="M765" i="99" l="1"/>
  <c r="K763" i="99"/>
  <c r="O785" i="99"/>
  <c r="P770" i="99"/>
  <c r="P781" i="99"/>
  <c r="O763" i="99"/>
  <c r="M763" i="99"/>
  <c r="P779" i="99"/>
  <c r="L792" i="99"/>
  <c r="N756" i="99"/>
  <c r="P879" i="99"/>
  <c r="P877" i="99"/>
  <c r="P773" i="99"/>
  <c r="L765" i="99"/>
  <c r="K765" i="99"/>
  <c r="M791" i="99"/>
  <c r="P791" i="99" s="1"/>
  <c r="L763" i="99"/>
  <c r="P763" i="99" s="1"/>
  <c r="Q877" i="99"/>
  <c r="P787" i="99"/>
  <c r="P776" i="99"/>
  <c r="L786" i="99"/>
  <c r="P786" i="99" s="1"/>
  <c r="N789" i="99"/>
  <c r="P789" i="99" s="1"/>
  <c r="N753" i="99"/>
  <c r="P766" i="99"/>
  <c r="N765" i="99"/>
  <c r="Q879" i="99"/>
  <c r="P769" i="99"/>
  <c r="O792" i="99"/>
  <c r="K788" i="99"/>
  <c r="P788" i="99" s="1"/>
  <c r="P777" i="99"/>
  <c r="K753" i="99"/>
  <c r="P795" i="99"/>
  <c r="L753" i="99"/>
  <c r="P696" i="99"/>
  <c r="P735" i="99"/>
  <c r="N759" i="99"/>
  <c r="P744" i="99"/>
  <c r="P798" i="99"/>
  <c r="M759" i="99"/>
  <c r="P751" i="99"/>
  <c r="M753" i="99"/>
  <c r="P736" i="99"/>
  <c r="K759" i="99"/>
  <c r="O738" i="99"/>
  <c r="P700" i="99"/>
  <c r="Q801" i="99" s="1"/>
  <c r="O759" i="99"/>
  <c r="O756" i="99"/>
  <c r="P772" i="99"/>
  <c r="H1094" i="99"/>
  <c r="M738" i="99"/>
  <c r="L701" i="99"/>
  <c r="L703" i="99" s="1"/>
  <c r="L705" i="99" s="1"/>
  <c r="L717" i="99" s="1"/>
  <c r="O749" i="99"/>
  <c r="P752" i="99"/>
  <c r="P745" i="99"/>
  <c r="P698" i="99"/>
  <c r="Q799" i="99" s="1"/>
  <c r="P774" i="99"/>
  <c r="P731" i="99"/>
  <c r="P805" i="99"/>
  <c r="P803" i="99"/>
  <c r="P797" i="99"/>
  <c r="P699" i="99"/>
  <c r="Q800" i="99" s="1"/>
  <c r="P702" i="99"/>
  <c r="Q803" i="99" s="1"/>
  <c r="O802" i="99"/>
  <c r="O804" i="99" s="1"/>
  <c r="O806" i="99" s="1"/>
  <c r="P758"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L711" i="99"/>
  <c r="P785" i="99"/>
  <c r="P790" i="99"/>
  <c r="E241" i="72"/>
  <c r="P152" i="72"/>
  <c r="L708" i="99" l="1"/>
  <c r="P792" i="99"/>
  <c r="Q797" i="99"/>
  <c r="N809" i="99"/>
  <c r="P753" i="99"/>
  <c r="P765" i="99"/>
  <c r="Q796" i="99"/>
  <c r="L720" i="99"/>
  <c r="L809" i="99"/>
  <c r="L714" i="99"/>
  <c r="O720" i="99"/>
  <c r="O809" i="99"/>
  <c r="L723" i="99"/>
  <c r="P749" i="99"/>
  <c r="L726" i="99"/>
  <c r="P759" i="99"/>
  <c r="O723" i="99"/>
  <c r="O714" i="99"/>
  <c r="O711" i="99"/>
  <c r="P738" i="99"/>
  <c r="N711" i="99"/>
  <c r="N723" i="99"/>
  <c r="O726" i="99"/>
  <c r="O717" i="99"/>
  <c r="N714" i="99"/>
  <c r="P701" i="99"/>
  <c r="M708" i="99"/>
  <c r="M720" i="99"/>
  <c r="M809" i="99"/>
  <c r="M726" i="99"/>
  <c r="M717" i="99"/>
  <c r="N717" i="99"/>
  <c r="P756" i="99"/>
  <c r="M723" i="99"/>
  <c r="M711"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Z1539" i="99" l="1"/>
  <c r="AC1539" i="99"/>
  <c r="Y1539" i="99"/>
  <c r="X1539" i="99"/>
  <c r="AA1539" i="99"/>
  <c r="AB1539" i="99"/>
  <c r="AD1533" i="99"/>
  <c r="AE1533" i="99"/>
  <c r="AF1539" i="99"/>
  <c r="AD1539" i="99"/>
  <c r="AI1539" i="99"/>
  <c r="AH1539" i="99"/>
  <c r="AG1539" i="99"/>
  <c r="AE1539" i="99"/>
  <c r="K1619" i="99"/>
  <c r="I1619" i="99"/>
  <c r="O112" i="72"/>
  <c r="O1603" i="99" s="1"/>
  <c r="E941" i="99"/>
  <c r="P112" i="72"/>
  <c r="P1603" i="99" s="1"/>
  <c r="Q435" i="72"/>
  <c r="Q434" i="72"/>
  <c r="P433" i="72"/>
  <c r="P1924" i="99" s="1"/>
  <c r="E31" i="72"/>
  <c r="L427" i="72"/>
  <c r="L423" i="72"/>
  <c r="Q409" i="72"/>
  <c r="Q408" i="72"/>
  <c r="Q407" i="72"/>
  <c r="Q406" i="72"/>
  <c r="P404" i="72"/>
  <c r="P1895" i="99" s="1"/>
  <c r="E28" i="72"/>
  <c r="AH1551" i="99" l="1"/>
  <c r="AF1551" i="99"/>
  <c r="AI1551" i="99"/>
  <c r="AG1551" i="99"/>
  <c r="AH1547" i="99"/>
  <c r="AD1547" i="99"/>
  <c r="AG1547" i="99"/>
  <c r="AI1547" i="99"/>
  <c r="AF1547" i="99"/>
  <c r="AE1547" i="99"/>
  <c r="AE1529" i="99"/>
  <c r="AD1529" i="99"/>
  <c r="Y1529" i="99"/>
  <c r="X1529" i="99"/>
  <c r="L1604"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H1540" i="99"/>
  <c r="AF1540" i="99"/>
  <c r="AD1540" i="99"/>
  <c r="AG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R1659" i="99" l="1"/>
  <c r="Y1531" i="99"/>
  <c r="X1531" i="99"/>
  <c r="L1659" i="99"/>
  <c r="AD1531" i="99"/>
  <c r="AE1531" i="99"/>
  <c r="K973" i="99"/>
  <c r="B1003" i="99" s="1"/>
  <c r="C1003" i="99" s="1"/>
  <c r="D1003" i="99" s="1"/>
  <c r="E1003" i="99" s="1"/>
  <c r="F1003" i="99" s="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508" i="99" l="1"/>
  <c r="J37" i="99"/>
  <c r="I594" i="99"/>
  <c r="A3" i="99"/>
  <c r="A244" i="99"/>
  <c r="P50" i="98"/>
  <c r="G74" i="98" s="1"/>
  <c r="L74" i="98" s="1"/>
  <c r="A2" i="75"/>
  <c r="A2" i="68"/>
  <c r="S2" i="68" s="1"/>
  <c r="A2" i="78"/>
  <c r="W2" i="78" s="1"/>
  <c r="A1" i="77"/>
  <c r="A1" i="72"/>
  <c r="A1" i="76"/>
  <c r="A1" i="73"/>
  <c r="A2" i="74"/>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P102" i="72"/>
  <c r="P1593" i="99" s="1"/>
  <c r="P103" i="72"/>
  <c r="B105" i="78"/>
  <c r="V18" i="78"/>
  <c r="T4" i="75"/>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917" i="99" s="1"/>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22" i="75" s="1"/>
  <c r="J660" i="99" s="1"/>
  <c r="L660" i="99" s="1"/>
  <c r="M660"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F14" i="85" s="1"/>
  <c r="A3" i="83" s="1"/>
  <c r="C59" i="74"/>
  <c r="C954" i="99" s="1"/>
  <c r="C962" i="99" s="1"/>
  <c r="B41" i="74"/>
  <c r="B936" i="99" s="1"/>
  <c r="C121" i="74"/>
  <c r="C1016" i="99" s="1"/>
  <c r="C1023" i="99" s="1"/>
  <c r="H26" i="74"/>
  <c r="H921" i="99" s="1"/>
  <c r="K91" i="74"/>
  <c r="K986" i="99" s="1"/>
  <c r="K993" i="99" s="1"/>
  <c r="D120" i="74"/>
  <c r="D1015" i="99" s="1"/>
  <c r="F61" i="74"/>
  <c r="F956" i="99" s="1"/>
  <c r="F964" i="99" s="1"/>
  <c r="O32" i="66"/>
  <c r="A2" i="66"/>
  <c r="N32" i="66"/>
  <c r="N2" i="74"/>
  <c r="A3" i="79"/>
  <c r="K92" i="74"/>
  <c r="K987" i="99" s="1"/>
  <c r="K994" i="99" s="1"/>
  <c r="G92" i="74"/>
  <c r="G987" i="99" s="1"/>
  <c r="G994" i="99" s="1"/>
  <c r="B28" i="74"/>
  <c r="B923" i="99" s="1"/>
  <c r="B931" i="99" s="1"/>
  <c r="C122" i="74"/>
  <c r="C1017" i="99" s="1"/>
  <c r="C1024" i="99" s="1"/>
  <c r="F92" i="74"/>
  <c r="F987" i="99" s="1"/>
  <c r="F994" i="99" s="1"/>
  <c r="B92" i="74"/>
  <c r="B987" i="99" s="1"/>
  <c r="B994" i="99" s="1"/>
  <c r="E60" i="74"/>
  <c r="E955" i="99" s="1"/>
  <c r="E963" i="99" s="1"/>
  <c r="F122" i="74"/>
  <c r="F1017" i="99" s="1"/>
  <c r="F1024"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B921" i="99" s="1"/>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G60" i="98" l="1"/>
  <c r="L60" i="98" s="1"/>
  <c r="I92" i="74"/>
  <c r="I987" i="99" s="1"/>
  <c r="I994" i="99" s="1"/>
  <c r="J92" i="74"/>
  <c r="J987" i="99" s="1"/>
  <c r="J994" i="99" s="1"/>
  <c r="E122" i="74"/>
  <c r="E1017" i="99" s="1"/>
  <c r="E1024" i="99" s="1"/>
  <c r="C28" i="74"/>
  <c r="C923" i="99" s="1"/>
  <c r="C931" i="99" s="1"/>
  <c r="E28" i="74"/>
  <c r="E923" i="99" s="1"/>
  <c r="E931" i="99" s="1"/>
  <c r="D122" i="74"/>
  <c r="J28" i="74"/>
  <c r="J923" i="99" s="1"/>
  <c r="J931" i="99" s="1"/>
  <c r="K28" i="74"/>
  <c r="K923" i="99" s="1"/>
  <c r="K931" i="99" s="1"/>
  <c r="H60" i="74"/>
  <c r="H955" i="99" s="1"/>
  <c r="H963" i="99" s="1"/>
  <c r="I28" i="74"/>
  <c r="I923" i="99" s="1"/>
  <c r="I931" i="99" s="1"/>
  <c r="D28" i="74"/>
  <c r="D923" i="99" s="1"/>
  <c r="D931" i="99" s="1"/>
  <c r="C60" i="74"/>
  <c r="C955" i="99" s="1"/>
  <c r="C963" i="99" s="1"/>
  <c r="F28" i="74"/>
  <c r="F923" i="99" s="1"/>
  <c r="F931" i="99" s="1"/>
  <c r="D92" i="74"/>
  <c r="D987" i="99" s="1"/>
  <c r="D994" i="99" s="1"/>
  <c r="B60" i="74"/>
  <c r="B955" i="99" s="1"/>
  <c r="B963" i="99" s="1"/>
  <c r="H28" i="74"/>
  <c r="H923" i="99" s="1"/>
  <c r="H931" i="99" s="1"/>
  <c r="G60" i="74"/>
  <c r="G955" i="99" s="1"/>
  <c r="G963" i="99" s="1"/>
  <c r="H92" i="74"/>
  <c r="H987" i="99" s="1"/>
  <c r="H994" i="99" s="1"/>
  <c r="F60" i="74"/>
  <c r="F955" i="99" s="1"/>
  <c r="F963" i="99" s="1"/>
  <c r="I60" i="74"/>
  <c r="I955" i="99" s="1"/>
  <c r="I963" i="99" s="1"/>
  <c r="K60" i="74"/>
  <c r="K955" i="99" s="1"/>
  <c r="K963" i="99" s="1"/>
  <c r="D60" i="74"/>
  <c r="D955" i="99" s="1"/>
  <c r="D963" i="99" s="1"/>
  <c r="B122" i="74"/>
  <c r="B1017" i="99" s="1"/>
  <c r="B1024" i="99" s="1"/>
  <c r="J60" i="74"/>
  <c r="J955" i="99" s="1"/>
  <c r="J963" i="99" s="1"/>
  <c r="E92" i="74"/>
  <c r="E987" i="99" s="1"/>
  <c r="E994" i="99" s="1"/>
  <c r="C92" i="74"/>
  <c r="C987" i="99" s="1"/>
  <c r="C994" i="99" s="1"/>
  <c r="G28" i="74"/>
  <c r="G923" i="99" s="1"/>
  <c r="G931" i="99" s="1"/>
  <c r="J24" i="75"/>
  <c r="J662" i="99" s="1"/>
  <c r="L662" i="99" s="1"/>
  <c r="M662" i="99" s="1"/>
  <c r="J25" i="75"/>
  <c r="J663" i="99" s="1"/>
  <c r="L663" i="99" s="1"/>
  <c r="M663" i="99" s="1"/>
  <c r="J19" i="75"/>
  <c r="J657" i="99" s="1"/>
  <c r="L657" i="99" s="1"/>
  <c r="M657" i="99" s="1"/>
  <c r="J18" i="75"/>
  <c r="J656" i="99" s="1"/>
  <c r="L656" i="99" s="1"/>
  <c r="M656" i="99" s="1"/>
  <c r="G49" i="98"/>
  <c r="L49" i="98" s="1"/>
  <c r="O39" i="99"/>
  <c r="P642" i="99"/>
  <c r="AG1544" i="99"/>
  <c r="AI1544" i="99"/>
  <c r="AH1544" i="99"/>
  <c r="AF1544" i="99"/>
  <c r="AE1544" i="99"/>
  <c r="AD1544" i="99"/>
  <c r="G73" i="98"/>
  <c r="L73" i="98" s="1"/>
  <c r="G52" i="98"/>
  <c r="L52" i="98" s="1"/>
  <c r="G57" i="98"/>
  <c r="L57" i="98" s="1"/>
  <c r="G72" i="98"/>
  <c r="L72" i="98" s="1"/>
  <c r="G63" i="98"/>
  <c r="L63" i="98" s="1"/>
  <c r="G56" i="98"/>
  <c r="L56" i="98" s="1"/>
  <c r="AH1546" i="99"/>
  <c r="AI1546" i="99"/>
  <c r="AG1546" i="99"/>
  <c r="AF1546" i="99"/>
  <c r="AE1546" i="99"/>
  <c r="AD1546" i="99"/>
  <c r="G67" i="98"/>
  <c r="L67" i="98" s="1"/>
  <c r="G64" i="98"/>
  <c r="L64" i="98" s="1"/>
  <c r="B1025" i="99"/>
  <c r="D129" i="74"/>
  <c r="D1017" i="99"/>
  <c r="D1024" i="99" s="1"/>
  <c r="G65" i="98"/>
  <c r="L65" i="98" s="1"/>
  <c r="G58" i="98"/>
  <c r="L58" i="98" s="1"/>
  <c r="AD54" i="72"/>
  <c r="P1868" i="99"/>
  <c r="AD1545" i="99" s="1"/>
  <c r="AT1540" i="99"/>
  <c r="AE1528" i="99"/>
  <c r="AD1528" i="99"/>
  <c r="G51" i="98"/>
  <c r="L51" i="98" s="1"/>
  <c r="G66" i="98"/>
  <c r="L66" i="98" s="1"/>
  <c r="N39" i="99"/>
  <c r="Q868" i="99"/>
  <c r="G50" i="98"/>
  <c r="L50" i="98" s="1"/>
  <c r="G59" i="98"/>
  <c r="L59" i="98" s="1"/>
  <c r="G70" i="98"/>
  <c r="L70" i="98" s="1"/>
  <c r="G71" i="98"/>
  <c r="L71"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13" i="87"/>
  <c r="H42" i="87"/>
  <c r="K24" i="87"/>
  <c r="H22" i="87"/>
  <c r="C12" i="86"/>
  <c r="H26" i="87"/>
  <c r="H44" i="87"/>
  <c r="H30" i="87"/>
  <c r="H12" i="87"/>
  <c r="H41" i="87"/>
  <c r="H21" i="87"/>
  <c r="H35" i="87"/>
  <c r="H32" i="87"/>
  <c r="H23" i="87"/>
  <c r="H34" i="87"/>
  <c r="H16" i="87"/>
  <c r="H10" i="87"/>
  <c r="H25" i="87"/>
  <c r="H39" i="87"/>
  <c r="C11" i="86"/>
  <c r="H15" i="87"/>
  <c r="C69" i="74"/>
  <c r="H24"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E36" i="74"/>
  <c r="P66" i="72"/>
  <c r="P65" i="72" s="1"/>
  <c r="E67" i="89"/>
  <c r="J20" i="75"/>
  <c r="J658" i="99" s="1"/>
  <c r="L658" i="99" s="1"/>
  <c r="M658" i="99" s="1"/>
  <c r="K40" i="87"/>
  <c r="H19" i="87"/>
  <c r="K18" i="87"/>
  <c r="K39" i="87"/>
  <c r="K21" i="87"/>
  <c r="I99" i="74"/>
  <c r="H37" i="87"/>
  <c r="E129" i="74"/>
  <c r="H43" i="87"/>
  <c r="K19" i="87"/>
  <c r="F36" i="74"/>
  <c r="K16" i="87"/>
  <c r="C36" i="74"/>
  <c r="H11" i="87"/>
  <c r="C34" i="84"/>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B37" i="87"/>
  <c r="I69" i="74"/>
  <c r="J99" i="74"/>
  <c r="B16" i="87"/>
  <c r="F99" i="74"/>
  <c r="B11" i="87"/>
  <c r="C128" i="74"/>
  <c r="E41" i="87"/>
  <c r="E21" i="87"/>
  <c r="F84" i="92"/>
  <c r="G36" i="74"/>
  <c r="B30" i="87"/>
  <c r="H68" i="74"/>
  <c r="I36" i="74"/>
  <c r="D36" i="74"/>
  <c r="C68" i="74"/>
  <c r="B43" i="87"/>
  <c r="B23" i="87"/>
  <c r="B25" i="87"/>
  <c r="B10" i="87"/>
  <c r="B17" i="87"/>
  <c r="D99" i="74"/>
  <c r="G68" i="74"/>
  <c r="B42" i="87"/>
  <c r="H99" i="74"/>
  <c r="B36" i="87"/>
  <c r="E39" i="87"/>
  <c r="B39" i="87"/>
  <c r="B40" i="87"/>
  <c r="B28" i="87"/>
  <c r="F69" i="74"/>
  <c r="B33" i="87"/>
  <c r="D68" i="74"/>
  <c r="E16" i="87"/>
  <c r="B35"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Q265" i="72"/>
  <c r="C64" i="74"/>
  <c r="F55" i="78"/>
  <c r="C8" i="90"/>
  <c r="B5" i="92" s="1"/>
  <c r="J21" i="75"/>
  <c r="J659" i="99" s="1"/>
  <c r="L659" i="99" s="1"/>
  <c r="M659" i="99" s="1"/>
  <c r="F40" i="78"/>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D22" i="74" s="1"/>
  <c r="D917" i="99" s="1"/>
  <c r="C24" i="74"/>
  <c r="C919" i="99"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A68" i="85"/>
  <c r="H38" i="87" l="1"/>
  <c r="H31" i="87"/>
  <c r="H18" i="87"/>
  <c r="B44" i="87"/>
  <c r="H36" i="87"/>
  <c r="H17" i="87"/>
  <c r="H33" i="87"/>
  <c r="L18" i="75"/>
  <c r="M18" i="75" s="1"/>
  <c r="E99" i="74"/>
  <c r="B12" i="87"/>
  <c r="B20" i="87"/>
  <c r="B68" i="74"/>
  <c r="J68" i="74"/>
  <c r="K36" i="74"/>
  <c r="B129" i="74"/>
  <c r="B13" i="87"/>
  <c r="C40" i="74"/>
  <c r="C935" i="99" s="1"/>
  <c r="H20" i="87"/>
  <c r="D130" i="74"/>
  <c r="B34" i="87"/>
  <c r="B14" i="87"/>
  <c r="H28" i="87"/>
  <c r="B41" i="87"/>
  <c r="H40" i="87"/>
  <c r="H45" i="82"/>
  <c r="H36" i="74"/>
  <c r="J36" i="74"/>
  <c r="A22" i="83"/>
  <c r="M687" i="99"/>
  <c r="M688" i="99" s="1"/>
  <c r="H927" i="99"/>
  <c r="C959" i="99"/>
  <c r="E927" i="99"/>
  <c r="J927" i="99"/>
  <c r="I927" i="99"/>
  <c r="D927" i="99"/>
  <c r="E959" i="99"/>
  <c r="B927" i="99"/>
  <c r="B44" i="74"/>
  <c r="B939" i="99" s="1"/>
  <c r="F927" i="99"/>
  <c r="G927" i="99"/>
  <c r="F959" i="99"/>
  <c r="D959" i="99"/>
  <c r="K927" i="99"/>
  <c r="B959" i="99"/>
  <c r="C927" i="99"/>
  <c r="C44" i="74"/>
  <c r="C939" i="99" s="1"/>
  <c r="B31" i="87"/>
  <c r="B32" i="87"/>
  <c r="J985" i="99"/>
  <c r="B995" i="99"/>
  <c r="R982" i="99"/>
  <c r="S982" i="99" s="1"/>
  <c r="E130" i="74"/>
  <c r="B29" i="87"/>
  <c r="B964" i="99"/>
  <c r="R950" i="99"/>
  <c r="S950" i="99" s="1"/>
  <c r="K921" i="99"/>
  <c r="R1012" i="99"/>
  <c r="S1012" i="99" s="1"/>
  <c r="C930" i="99"/>
  <c r="B27" i="87"/>
  <c r="L34" i="68"/>
  <c r="L276" i="99" s="1"/>
  <c r="L277" i="99" s="1"/>
  <c r="I303"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E22" i="74" s="1"/>
  <c r="E917" i="99" s="1"/>
  <c r="P138" i="75"/>
  <c r="M147" i="75"/>
  <c r="P136" i="75"/>
  <c r="R31" i="74"/>
  <c r="O164" i="75"/>
  <c r="O166" i="75" s="1"/>
  <c r="O168" i="75" s="1"/>
  <c r="P108" i="75"/>
  <c r="P93" i="75"/>
  <c r="J164" i="78"/>
  <c r="J166" i="78" s="1"/>
  <c r="E3" i="86"/>
  <c r="B4" i="82"/>
  <c r="C18" i="84"/>
  <c r="I61" i="68"/>
  <c r="P139" i="75"/>
  <c r="P114" i="75"/>
  <c r="G14" i="86"/>
  <c r="A67" i="85"/>
  <c r="D10" i="86" l="1"/>
  <c r="A21" i="83"/>
  <c r="R927" i="99"/>
  <c r="AC47" i="72"/>
  <c r="L35" i="68"/>
  <c r="AD424" i="99"/>
  <c r="AF424" i="99" s="1"/>
  <c r="R931" i="99"/>
  <c r="R922" i="99"/>
  <c r="R932" i="99"/>
  <c r="R935" i="99"/>
  <c r="R926" i="99"/>
  <c r="R921" i="99"/>
  <c r="R925" i="99"/>
  <c r="R917" i="99"/>
  <c r="R933" i="99"/>
  <c r="R929" i="99"/>
  <c r="D44" i="74"/>
  <c r="R924" i="99"/>
  <c r="R920" i="99"/>
  <c r="R916" i="99"/>
  <c r="R928" i="99"/>
  <c r="R918" i="99"/>
  <c r="R934" i="99"/>
  <c r="R930" i="99"/>
  <c r="R919" i="99"/>
  <c r="R923" i="99"/>
  <c r="AD420" i="99"/>
  <c r="AF420" i="99" s="1"/>
  <c r="AI47" i="72"/>
  <c r="P1751" i="99"/>
  <c r="AG1526" i="99"/>
  <c r="AF1526" i="99"/>
  <c r="AI1526" i="99"/>
  <c r="AH1526" i="99"/>
  <c r="AE1526" i="99"/>
  <c r="AD1526" i="99"/>
  <c r="Z1538" i="99"/>
  <c r="AB1538" i="99"/>
  <c r="Y1538" i="99"/>
  <c r="AA1538" i="99"/>
  <c r="AA1553" i="99" s="1"/>
  <c r="X1538" i="99"/>
  <c r="AC1538" i="99"/>
  <c r="P293" i="99"/>
  <c r="P294" i="99"/>
  <c r="I304" i="99"/>
  <c r="AD109" i="78"/>
  <c r="AF109" i="78" s="1"/>
  <c r="AD419"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F22" i="74" s="1"/>
  <c r="F917" i="99" s="1"/>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2" i="72" l="1"/>
  <c r="B916" i="99"/>
  <c r="P295" i="99"/>
  <c r="D939" i="99"/>
  <c r="E44" i="74"/>
  <c r="AF419" i="99"/>
  <c r="AF421" i="99" s="1"/>
  <c r="AD421" i="99"/>
  <c r="L348" i="73"/>
  <c r="L1386" i="99"/>
  <c r="L1381" i="99"/>
  <c r="G1386" i="99"/>
  <c r="G1381" i="99"/>
  <c r="AH1538" i="99"/>
  <c r="AD1538" i="99"/>
  <c r="AG1538" i="99"/>
  <c r="AG1553" i="99" s="1"/>
  <c r="AF1538" i="99"/>
  <c r="AI1538" i="99"/>
  <c r="AE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G22" i="74" s="1"/>
  <c r="G917" i="99" s="1"/>
  <c r="F24" i="74"/>
  <c r="F919" i="99" s="1"/>
  <c r="K168" i="75"/>
  <c r="P168" i="75" s="1"/>
  <c r="P166" i="75"/>
  <c r="F21" i="74"/>
  <c r="O19" i="86"/>
  <c r="O23" i="86" s="1"/>
  <c r="O25" i="86" s="1"/>
  <c r="O31" i="86" s="1"/>
  <c r="G21" i="86"/>
  <c r="F22" i="86"/>
  <c r="C916" i="99" l="1"/>
  <c r="E916" i="99"/>
  <c r="F916" i="99"/>
  <c r="D916" i="99"/>
  <c r="P477" i="99"/>
  <c r="P478" i="99" s="1"/>
  <c r="P480" i="99" s="1"/>
  <c r="E939" i="99"/>
  <c r="F44" i="74"/>
  <c r="F368" i="99"/>
  <c r="F359" i="99"/>
  <c r="K175" i="75"/>
  <c r="J359" i="99"/>
  <c r="J368" i="99"/>
  <c r="J477" i="99"/>
  <c r="J478" i="99" s="1"/>
  <c r="J480" i="99" s="1"/>
  <c r="M477" i="99"/>
  <c r="M478" i="99" s="1"/>
  <c r="M480" i="99" s="1"/>
  <c r="H1881" i="99"/>
  <c r="Q242" i="75"/>
  <c r="P242" i="75"/>
  <c r="L1588" i="99"/>
  <c r="P1588" i="99" s="1"/>
  <c r="K1588" i="99"/>
  <c r="O1588" i="99" s="1"/>
  <c r="F358" i="99"/>
  <c r="F367" i="99"/>
  <c r="AD113" i="78"/>
  <c r="AF113" i="78" s="1"/>
  <c r="AF115" i="78" s="1"/>
  <c r="E109" i="78" s="1"/>
  <c r="I109" i="78" s="1"/>
  <c r="AD423"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Q243" i="75"/>
  <c r="Q234" i="75" s="1"/>
  <c r="Q872" i="99" s="1"/>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Q230" i="75" s="1"/>
  <c r="H7" i="84"/>
  <c r="E47" i="92" s="1"/>
  <c r="L97" i="72"/>
  <c r="J97" i="72"/>
  <c r="K97" i="72"/>
  <c r="H16" i="85"/>
  <c r="D33" i="90"/>
  <c r="D55" i="92" s="1"/>
  <c r="M167" i="78"/>
  <c r="M168" i="78" s="1"/>
  <c r="M170" i="78" s="1"/>
  <c r="J167" i="78"/>
  <c r="J168" i="78" s="1"/>
  <c r="H14" i="74"/>
  <c r="H22" i="74" s="1"/>
  <c r="H917" i="99" s="1"/>
  <c r="G24" i="74"/>
  <c r="G919" i="99" s="1"/>
  <c r="G15" i="74"/>
  <c r="G910" i="99" s="1"/>
  <c r="G21" i="74"/>
  <c r="P167" i="78"/>
  <c r="P168" i="78" s="1"/>
  <c r="P170" i="78" s="1"/>
  <c r="H21" i="86"/>
  <c r="G22" i="86"/>
  <c r="G916" i="99" l="1"/>
  <c r="AD115" i="78"/>
  <c r="F939" i="99"/>
  <c r="G44" i="74"/>
  <c r="J481" i="99"/>
  <c r="N873" i="99"/>
  <c r="Q885" i="99"/>
  <c r="G458" i="99"/>
  <c r="P367" i="99"/>
  <c r="P358" i="99"/>
  <c r="AD106" i="78"/>
  <c r="J1881" i="99"/>
  <c r="L1881" i="99" s="1"/>
  <c r="E1381" i="99"/>
  <c r="N1381" i="99" s="1"/>
  <c r="H1716" i="99"/>
  <c r="O1875" i="99"/>
  <c r="O1876" i="99" s="1"/>
  <c r="E1386" i="99"/>
  <c r="N1386" i="99" s="1"/>
  <c r="J1855" i="99"/>
  <c r="E1383" i="99"/>
  <c r="N1383" i="99" s="1"/>
  <c r="O1235" i="99"/>
  <c r="M1328" i="99"/>
  <c r="L1328" i="99" s="1"/>
  <c r="M1331" i="99"/>
  <c r="L1331" i="99" s="1"/>
  <c r="E365" i="99"/>
  <c r="G364" i="99" s="1"/>
  <c r="F443" i="99"/>
  <c r="AE435" i="99"/>
  <c r="AE432" i="99"/>
  <c r="AD416" i="99"/>
  <c r="D458" i="99"/>
  <c r="E397" i="99"/>
  <c r="AE433" i="99"/>
  <c r="AE436" i="99"/>
  <c r="AE434" i="99"/>
  <c r="J358" i="99"/>
  <c r="AE437" i="99"/>
  <c r="J367" i="99"/>
  <c r="M290" i="73"/>
  <c r="L290" i="73" s="1"/>
  <c r="M293" i="73"/>
  <c r="L293" i="73" s="1"/>
  <c r="AF423" i="99"/>
  <c r="AF425" i="99" s="1"/>
  <c r="E419" i="99" s="1"/>
  <c r="I419" i="99" s="1"/>
  <c r="AD425"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J366" i="72" s="1"/>
  <c r="S189" i="78"/>
  <c r="M441" i="72"/>
  <c r="E343" i="73"/>
  <c r="N343" i="73" s="1"/>
  <c r="N228" i="75"/>
  <c r="H40" i="74"/>
  <c r="H935" i="99" s="1"/>
  <c r="L88" i="72"/>
  <c r="O92" i="72" s="1"/>
  <c r="O1583" i="99" s="1"/>
  <c r="K52" i="84"/>
  <c r="I52" i="84"/>
  <c r="E52" i="84"/>
  <c r="B17" i="74"/>
  <c r="B912" i="99" s="1"/>
  <c r="B915" i="99" s="1"/>
  <c r="D16" i="74"/>
  <c r="D911" i="99" s="1"/>
  <c r="E16" i="74"/>
  <c r="E911" i="99" s="1"/>
  <c r="C53" i="84"/>
  <c r="I53" i="84" s="1"/>
  <c r="I54" i="84" s="1"/>
  <c r="C16" i="74"/>
  <c r="C911" i="99" s="1"/>
  <c r="F16" i="74"/>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H919" i="99" s="1"/>
  <c r="I14" i="74"/>
  <c r="I22" i="74" s="1"/>
  <c r="I917" i="99" s="1"/>
  <c r="H16" i="74"/>
  <c r="H911" i="99" s="1"/>
  <c r="H15" i="74"/>
  <c r="H910" i="99" s="1"/>
  <c r="H21" i="74"/>
  <c r="I21" i="86"/>
  <c r="I22" i="86" s="1"/>
  <c r="H22" i="86"/>
  <c r="B39" i="74" l="1"/>
  <c r="B934" i="99" s="1"/>
  <c r="F911" i="99"/>
  <c r="H916" i="99"/>
  <c r="AF435" i="99"/>
  <c r="AH435" i="99" s="1"/>
  <c r="G939" i="99"/>
  <c r="H44" i="74"/>
  <c r="F23" i="74"/>
  <c r="F918" i="99" s="1"/>
  <c r="B918" i="99"/>
  <c r="B920" i="99" s="1"/>
  <c r="AF432" i="99"/>
  <c r="AH432" i="99" s="1"/>
  <c r="M1856" i="99"/>
  <c r="J1856" i="99"/>
  <c r="J1857" i="99" s="1"/>
  <c r="H53" i="82"/>
  <c r="H926" i="99"/>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AF125" i="78"/>
  <c r="AH125" i="78" s="1"/>
  <c r="H19" i="84"/>
  <c r="AF122" i="78"/>
  <c r="AH122" i="78" s="1"/>
  <c r="E127" i="78" s="1"/>
  <c r="D17" i="83"/>
  <c r="C19" i="84"/>
  <c r="F16" i="85"/>
  <c r="G20" i="74"/>
  <c r="H17" i="74"/>
  <c r="H912" i="99" s="1"/>
  <c r="H915" i="99" s="1"/>
  <c r="I53" i="82"/>
  <c r="I24" i="74"/>
  <c r="I919" i="99" s="1"/>
  <c r="J14" i="74"/>
  <c r="J22" i="74" s="1"/>
  <c r="J917" i="99" s="1"/>
  <c r="I16" i="74"/>
  <c r="I911" i="99" s="1"/>
  <c r="I15" i="74"/>
  <c r="I910" i="99" s="1"/>
  <c r="I21" i="74"/>
  <c r="A9" i="83"/>
  <c r="J31" i="74" l="1"/>
  <c r="J926" i="99" s="1"/>
  <c r="E39" i="74"/>
  <c r="E934" i="99" s="1"/>
  <c r="C39" i="74"/>
  <c r="C934" i="99" s="1"/>
  <c r="F39" i="74"/>
  <c r="F934" i="99" s="1"/>
  <c r="D39" i="74"/>
  <c r="D934" i="99" s="1"/>
  <c r="H39" i="74"/>
  <c r="H934" i="99" s="1"/>
  <c r="G39" i="74"/>
  <c r="G934" i="99" s="1"/>
  <c r="I916" i="99"/>
  <c r="E920" i="99"/>
  <c r="E928" i="99" s="1"/>
  <c r="F920" i="99"/>
  <c r="F929" i="99" s="1"/>
  <c r="G13" i="86"/>
  <c r="H920" i="99"/>
  <c r="H928" i="99" s="1"/>
  <c r="K70" i="84"/>
  <c r="K72" i="84" s="1"/>
  <c r="D920" i="99"/>
  <c r="D928" i="99" s="1"/>
  <c r="I70" i="84"/>
  <c r="I76" i="84" s="1"/>
  <c r="I73" i="84" s="1"/>
  <c r="B928" i="99"/>
  <c r="S916" i="99" s="1"/>
  <c r="B929" i="99"/>
  <c r="B933" i="99"/>
  <c r="B34" i="74"/>
  <c r="B38" i="74"/>
  <c r="H939" i="99"/>
  <c r="I44" i="74"/>
  <c r="C920" i="99"/>
  <c r="G920" i="99"/>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E72" i="84"/>
  <c r="G25" i="74"/>
  <c r="J53" i="82"/>
  <c r="K14" i="74"/>
  <c r="K22" i="74" s="1"/>
  <c r="K917" i="99" s="1"/>
  <c r="J24" i="74"/>
  <c r="J919" i="99" s="1"/>
  <c r="J15" i="74"/>
  <c r="J910" i="99" s="1"/>
  <c r="J16" i="74"/>
  <c r="J911" i="99" s="1"/>
  <c r="J21" i="74"/>
  <c r="J23" i="74"/>
  <c r="J918" i="99" s="1"/>
  <c r="I17" i="74"/>
  <c r="I912" i="99" s="1"/>
  <c r="I915" i="99" s="1"/>
  <c r="I920" i="99" s="1"/>
  <c r="H20" i="74"/>
  <c r="K31" i="74" l="1"/>
  <c r="K926" i="99" s="1"/>
  <c r="E933" i="99"/>
  <c r="E929" i="99"/>
  <c r="I39" i="74"/>
  <c r="I934" i="99" s="1"/>
  <c r="J916" i="99"/>
  <c r="H933" i="99"/>
  <c r="H929" i="99"/>
  <c r="F928" i="99"/>
  <c r="F933" i="99"/>
  <c r="K76" i="84"/>
  <c r="K73" i="84" s="1"/>
  <c r="I72" i="84"/>
  <c r="D929" i="99"/>
  <c r="D933" i="99"/>
  <c r="C38" i="74"/>
  <c r="C34" i="74"/>
  <c r="G928" i="99"/>
  <c r="G933" i="99"/>
  <c r="G929" i="99"/>
  <c r="C928" i="99"/>
  <c r="S918" i="99" s="1"/>
  <c r="C929" i="99"/>
  <c r="C933" i="99"/>
  <c r="I928" i="99"/>
  <c r="I929" i="99"/>
  <c r="I933" i="99"/>
  <c r="G34" i="74"/>
  <c r="G38" i="74"/>
  <c r="I939" i="99"/>
  <c r="J44" i="74"/>
  <c r="AF1527" i="99"/>
  <c r="AF1553" i="99" s="1"/>
  <c r="AE1527" i="99"/>
  <c r="AI1527" i="99"/>
  <c r="AI1553" i="99" s="1"/>
  <c r="AD1527" i="99"/>
  <c r="AH1527" i="99"/>
  <c r="AH1553" i="99" s="1"/>
  <c r="Z1527" i="99"/>
  <c r="Z1553" i="99" s="1"/>
  <c r="AB1527" i="99"/>
  <c r="AB1553" i="99" s="1"/>
  <c r="AC1527" i="99"/>
  <c r="AC1553" i="99" s="1"/>
  <c r="Y1527" i="99"/>
  <c r="Y1553" i="99" s="1"/>
  <c r="P1581" i="99"/>
  <c r="X1527" i="99"/>
  <c r="X1553" i="99" s="1"/>
  <c r="O1932" i="99"/>
  <c r="O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K919" i="99" s="1"/>
  <c r="B46" i="74"/>
  <c r="B54" i="74" s="1"/>
  <c r="B949" i="99" s="1"/>
  <c r="K15" i="74"/>
  <c r="K910" i="99" s="1"/>
  <c r="K16" i="74"/>
  <c r="K911" i="99" s="1"/>
  <c r="K21" i="74"/>
  <c r="K23" i="74"/>
  <c r="K918" i="99" s="1"/>
  <c r="H25" i="74"/>
  <c r="D33" i="86"/>
  <c r="B63" i="74"/>
  <c r="B958" i="99" s="1"/>
  <c r="J17" i="74"/>
  <c r="J912" i="99" s="1"/>
  <c r="J915" i="99" s="1"/>
  <c r="K53" i="82" l="1"/>
  <c r="J920" i="99"/>
  <c r="J928" i="99" s="1"/>
  <c r="S924" i="99" s="1"/>
  <c r="J39" i="74"/>
  <c r="J934" i="99" s="1"/>
  <c r="K916" i="99"/>
  <c r="S923" i="99"/>
  <c r="S917" i="99"/>
  <c r="S919" i="99"/>
  <c r="S922" i="99"/>
  <c r="S920" i="99"/>
  <c r="H34" i="74"/>
  <c r="H38" i="74"/>
  <c r="E34" i="74"/>
  <c r="E38" i="74"/>
  <c r="D38" i="74"/>
  <c r="D34" i="74"/>
  <c r="F34" i="74"/>
  <c r="F38" i="74"/>
  <c r="S921" i="99"/>
  <c r="J939" i="99"/>
  <c r="K44" i="74"/>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C54" i="74" s="1"/>
  <c r="C949" i="99" s="1"/>
  <c r="B56" i="74"/>
  <c r="B951" i="99" s="1"/>
  <c r="B48" i="74"/>
  <c r="B943" i="99" s="1"/>
  <c r="B47" i="74"/>
  <c r="B942" i="99" s="1"/>
  <c r="B53" i="74"/>
  <c r="B55" i="74"/>
  <c r="B950" i="99" s="1"/>
  <c r="C63" i="74"/>
  <c r="C958" i="99" s="1"/>
  <c r="B73" i="82"/>
  <c r="E33" i="86"/>
  <c r="J929" i="99" l="1"/>
  <c r="J933" i="99"/>
  <c r="K920" i="99"/>
  <c r="K928" i="99" s="1"/>
  <c r="S925" i="99" s="1"/>
  <c r="K39" i="74"/>
  <c r="K934" i="99" s="1"/>
  <c r="B948" i="99"/>
  <c r="I34" i="74"/>
  <c r="I38" i="74"/>
  <c r="K939" i="99"/>
  <c r="B76" i="74"/>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C951" i="99" s="1"/>
  <c r="D46" i="74"/>
  <c r="D54" i="74" s="1"/>
  <c r="D949" i="99" s="1"/>
  <c r="C47" i="74"/>
  <c r="C942" i="99" s="1"/>
  <c r="C53" i="74"/>
  <c r="C55" i="74"/>
  <c r="C950" i="99" s="1"/>
  <c r="B49" i="74"/>
  <c r="B944" i="99" s="1"/>
  <c r="B947" i="99" s="1"/>
  <c r="I9" i="86"/>
  <c r="S27" i="74"/>
  <c r="H51" i="82"/>
  <c r="H46" i="82"/>
  <c r="F33" i="86"/>
  <c r="K20" i="74"/>
  <c r="K929" i="99" l="1"/>
  <c r="K933" i="99"/>
  <c r="B952" i="99"/>
  <c r="B960" i="99" s="1"/>
  <c r="S926" i="99" s="1"/>
  <c r="B71" i="74"/>
  <c r="B966" i="99" s="1"/>
  <c r="C948" i="99"/>
  <c r="J34" i="74"/>
  <c r="J38" i="74"/>
  <c r="B971" i="99"/>
  <c r="C76" i="74"/>
  <c r="G30" i="86"/>
  <c r="D72" i="74"/>
  <c r="D967" i="99" s="1"/>
  <c r="I46" i="82"/>
  <c r="J33" i="74"/>
  <c r="J44" i="82"/>
  <c r="J46" i="82" s="1"/>
  <c r="C29" i="86"/>
  <c r="C37" i="86" s="1"/>
  <c r="C38" i="86" s="1"/>
  <c r="C40" i="86" s="1"/>
  <c r="C44" i="86" s="1"/>
  <c r="K13" i="86" s="1"/>
  <c r="S28" i="74"/>
  <c r="I17" i="86"/>
  <c r="I18" i="86" s="1"/>
  <c r="I20" i="86" s="1"/>
  <c r="I24" i="86" s="1"/>
  <c r="K12" i="86" s="1"/>
  <c r="E46" i="74"/>
  <c r="E54" i="74" s="1"/>
  <c r="E949" i="99" s="1"/>
  <c r="D56" i="74"/>
  <c r="D951" i="99" s="1"/>
  <c r="D48" i="74"/>
  <c r="D943" i="99" s="1"/>
  <c r="D47" i="74"/>
  <c r="D942" i="99" s="1"/>
  <c r="D53" i="74"/>
  <c r="D55" i="74"/>
  <c r="D950" i="99" s="1"/>
  <c r="E63" i="74"/>
  <c r="E958" i="99" s="1"/>
  <c r="D73" i="82"/>
  <c r="G33" i="86"/>
  <c r="K25" i="74"/>
  <c r="B52" i="74"/>
  <c r="C49" i="74"/>
  <c r="C944" i="99" s="1"/>
  <c r="C947" i="99" s="1"/>
  <c r="C952" i="99" s="1"/>
  <c r="B961" i="99" l="1"/>
  <c r="B965" i="99"/>
  <c r="C71" i="74"/>
  <c r="C966" i="99" s="1"/>
  <c r="D948" i="99"/>
  <c r="C960" i="99"/>
  <c r="S927" i="99" s="1"/>
  <c r="C961" i="99"/>
  <c r="C965" i="99"/>
  <c r="K34" i="74"/>
  <c r="K38" i="74"/>
  <c r="C971" i="99"/>
  <c r="D76" i="74"/>
  <c r="H30" i="86"/>
  <c r="E72" i="74"/>
  <c r="E967" i="99" s="1"/>
  <c r="J51" i="82"/>
  <c r="S29" i="74"/>
  <c r="D29" i="86"/>
  <c r="D37" i="86" s="1"/>
  <c r="D38" i="86" s="1"/>
  <c r="D40" i="86" s="1"/>
  <c r="D44" i="86" s="1"/>
  <c r="K14" i="86" s="1"/>
  <c r="C52" i="74"/>
  <c r="E73" i="82"/>
  <c r="F63" i="74"/>
  <c r="F958" i="99" s="1"/>
  <c r="D49" i="74"/>
  <c r="D944" i="99" s="1"/>
  <c r="D947" i="99" s="1"/>
  <c r="D952" i="99" s="1"/>
  <c r="B57" i="74"/>
  <c r="K44" i="82"/>
  <c r="K33" i="74"/>
  <c r="E47" i="74"/>
  <c r="E942" i="99" s="1"/>
  <c r="E56" i="74"/>
  <c r="E951" i="99" s="1"/>
  <c r="F46" i="74"/>
  <c r="F54" i="74" s="1"/>
  <c r="F949" i="99" s="1"/>
  <c r="E48" i="74"/>
  <c r="E943" i="99" s="1"/>
  <c r="E53" i="74"/>
  <c r="E55" i="74"/>
  <c r="E950" i="99" s="1"/>
  <c r="H33" i="86"/>
  <c r="D71" i="74" l="1"/>
  <c r="D966" i="99" s="1"/>
  <c r="E948" i="99"/>
  <c r="B66" i="74"/>
  <c r="B70" i="74"/>
  <c r="D960" i="99"/>
  <c r="S928" i="99" s="1"/>
  <c r="D965" i="99"/>
  <c r="D961" i="99"/>
  <c r="D971" i="99"/>
  <c r="E76" i="74"/>
  <c r="I30" i="86"/>
  <c r="F72" i="74"/>
  <c r="F967" i="99" s="1"/>
  <c r="C57" i="74"/>
  <c r="D52" i="74"/>
  <c r="F56" i="74"/>
  <c r="F951" i="99" s="1"/>
  <c r="F48" i="74"/>
  <c r="F943" i="99" s="1"/>
  <c r="F47" i="74"/>
  <c r="F942" i="99" s="1"/>
  <c r="G46" i="74"/>
  <c r="G54" i="74" s="1"/>
  <c r="G949" i="99" s="1"/>
  <c r="F53" i="74"/>
  <c r="F55" i="74"/>
  <c r="F950" i="99" s="1"/>
  <c r="E49" i="74"/>
  <c r="E944" i="99" s="1"/>
  <c r="E947" i="99" s="1"/>
  <c r="E29" i="86"/>
  <c r="S30" i="74"/>
  <c r="F73" i="82"/>
  <c r="G63" i="74"/>
  <c r="G958" i="99" s="1"/>
  <c r="K51" i="82"/>
  <c r="K46" i="82"/>
  <c r="B25" i="82" s="1"/>
  <c r="I33" i="86"/>
  <c r="B64" i="82"/>
  <c r="B65" i="74"/>
  <c r="E952" i="99" l="1"/>
  <c r="E965" i="99" s="1"/>
  <c r="E71" i="74"/>
  <c r="E966" i="99" s="1"/>
  <c r="F948" i="99"/>
  <c r="C70" i="74"/>
  <c r="C66" i="74"/>
  <c r="E971" i="99"/>
  <c r="F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63" i="74"/>
  <c r="H958" i="99" s="1"/>
  <c r="G73" i="82"/>
  <c r="B66" i="82"/>
  <c r="B71" i="82"/>
  <c r="C53" i="86"/>
  <c r="D57" i="74"/>
  <c r="G56" i="74"/>
  <c r="G951" i="99" s="1"/>
  <c r="G48" i="74"/>
  <c r="G943" i="99" s="1"/>
  <c r="H46" i="74"/>
  <c r="H54" i="74" s="1"/>
  <c r="H949" i="99" s="1"/>
  <c r="G47" i="74"/>
  <c r="G942" i="99" s="1"/>
  <c r="G53" i="74"/>
  <c r="G55" i="74"/>
  <c r="G950" i="99" s="1"/>
  <c r="E961" i="99" l="1"/>
  <c r="E960" i="99"/>
  <c r="S929" i="99" s="1"/>
  <c r="F71" i="74"/>
  <c r="F966" i="99" s="1"/>
  <c r="G948" i="99"/>
  <c r="D66" i="74"/>
  <c r="D70" i="74"/>
  <c r="F960" i="99"/>
  <c r="S930" i="99" s="1"/>
  <c r="F965" i="99"/>
  <c r="F961" i="99"/>
  <c r="F971" i="99"/>
  <c r="G76" i="74"/>
  <c r="G971" i="99" s="1"/>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942" i="99" s="1"/>
  <c r="H48" i="74"/>
  <c r="H943" i="99" s="1"/>
  <c r="I46" i="74"/>
  <c r="I54" i="74" s="1"/>
  <c r="I949" i="99" s="1"/>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G71" i="74" l="1"/>
  <c r="G966" i="99" s="1"/>
  <c r="H948" i="99"/>
  <c r="G960" i="99"/>
  <c r="S931" i="99" s="1"/>
  <c r="G965" i="99"/>
  <c r="G961" i="99"/>
  <c r="E70" i="74"/>
  <c r="E66" i="74"/>
  <c r="D57" i="86"/>
  <c r="D58" i="86" s="1"/>
  <c r="D60" i="86" s="1"/>
  <c r="D64" i="86" s="1"/>
  <c r="K21" i="86" s="1"/>
  <c r="E50" i="86"/>
  <c r="I72" i="74"/>
  <c r="I967" i="99" s="1"/>
  <c r="E64" i="82"/>
  <c r="E71" i="82" s="1"/>
  <c r="E74" i="82" s="1"/>
  <c r="E65" i="74"/>
  <c r="B76" i="82"/>
  <c r="E53" i="86"/>
  <c r="H29" i="86"/>
  <c r="S33" i="74"/>
  <c r="J46" i="74"/>
  <c r="J54" i="74" s="1"/>
  <c r="J949" i="99" s="1"/>
  <c r="I56" i="74"/>
  <c r="I951" i="99" s="1"/>
  <c r="I47" i="74"/>
  <c r="I942" i="99" s="1"/>
  <c r="I48" i="74"/>
  <c r="I943" i="99" s="1"/>
  <c r="I53" i="74"/>
  <c r="I55" i="74"/>
  <c r="I950" i="99" s="1"/>
  <c r="D71" i="82"/>
  <c r="D74" i="82" s="1"/>
  <c r="D66" i="82"/>
  <c r="B29" i="82"/>
  <c r="G21" i="82"/>
  <c r="G52" i="74"/>
  <c r="H49" i="74"/>
  <c r="H944" i="99" s="1"/>
  <c r="H947" i="99" s="1"/>
  <c r="H952" i="99" s="1"/>
  <c r="J63" i="74"/>
  <c r="J958" i="99" s="1"/>
  <c r="I73" i="82"/>
  <c r="F57" i="74"/>
  <c r="H71" i="74" l="1"/>
  <c r="H966" i="99" s="1"/>
  <c r="I948" i="99"/>
  <c r="F66" i="74"/>
  <c r="F70" i="74"/>
  <c r="H960" i="99"/>
  <c r="S932" i="99" s="1"/>
  <c r="H961" i="99"/>
  <c r="H965" i="99"/>
  <c r="E57" i="86"/>
  <c r="E58" i="86" s="1"/>
  <c r="E60" i="86" s="1"/>
  <c r="E64" i="86" s="1"/>
  <c r="K22" i="86" s="1"/>
  <c r="F50" i="86"/>
  <c r="J72" i="74"/>
  <c r="J967" i="99" s="1"/>
  <c r="E66" i="82"/>
  <c r="S34" i="74"/>
  <c r="I29" i="86"/>
  <c r="I37" i="86" s="1"/>
  <c r="I38" i="86" s="1"/>
  <c r="I40" i="86" s="1"/>
  <c r="I44" i="86" s="1"/>
  <c r="K19" i="86" s="1"/>
  <c r="J48" i="74"/>
  <c r="J943" i="99" s="1"/>
  <c r="K46" i="74"/>
  <c r="K54" i="74" s="1"/>
  <c r="K949" i="99" s="1"/>
  <c r="J56" i="74"/>
  <c r="J951" i="99" s="1"/>
  <c r="J47" i="74"/>
  <c r="J942" i="99" s="1"/>
  <c r="J53" i="74"/>
  <c r="J55" i="74"/>
  <c r="J950" i="99" s="1"/>
  <c r="H37" i="86"/>
  <c r="H38" i="86" s="1"/>
  <c r="H40" i="86" s="1"/>
  <c r="H44" i="86" s="1"/>
  <c r="K18" i="86" s="1"/>
  <c r="G57" i="74"/>
  <c r="F65" i="74"/>
  <c r="F64" i="82"/>
  <c r="I49" i="74"/>
  <c r="I944" i="99" s="1"/>
  <c r="I947" i="99" s="1"/>
  <c r="I952" i="99" s="1"/>
  <c r="J73" i="82"/>
  <c r="K63" i="74"/>
  <c r="K958" i="99" s="1"/>
  <c r="D75" i="82"/>
  <c r="D76" i="82" s="1"/>
  <c r="E75" i="82"/>
  <c r="E76" i="82" s="1"/>
  <c r="H52" i="74"/>
  <c r="F53" i="86"/>
  <c r="I71" i="74" l="1"/>
  <c r="I966" i="99" s="1"/>
  <c r="J948" i="99"/>
  <c r="I960" i="99"/>
  <c r="S933" i="99" s="1"/>
  <c r="I965" i="99"/>
  <c r="I961" i="99"/>
  <c r="G66" i="74"/>
  <c r="G70" i="74"/>
  <c r="F57" i="86"/>
  <c r="F58" i="86" s="1"/>
  <c r="F60" i="86" s="1"/>
  <c r="F64" i="86" s="1"/>
  <c r="K23" i="86" s="1"/>
  <c r="G50" i="86"/>
  <c r="K72" i="74"/>
  <c r="K967" i="99" s="1"/>
  <c r="I52" i="74"/>
  <c r="F66" i="82"/>
  <c r="F71" i="82"/>
  <c r="F74" i="82" s="1"/>
  <c r="G53" i="86"/>
  <c r="G64" i="82"/>
  <c r="G65" i="74"/>
  <c r="J49" i="74"/>
  <c r="J944" i="99" s="1"/>
  <c r="J947" i="99" s="1"/>
  <c r="J952" i="99" s="1"/>
  <c r="C49" i="86"/>
  <c r="S35" i="74"/>
  <c r="K73" i="82"/>
  <c r="B95" i="74"/>
  <c r="B990" i="99" s="1"/>
  <c r="B78" i="74"/>
  <c r="B86" i="74" s="1"/>
  <c r="B981" i="99" s="1"/>
  <c r="K56" i="74"/>
  <c r="K951" i="99" s="1"/>
  <c r="K47" i="74"/>
  <c r="K942" i="99" s="1"/>
  <c r="K48" i="74"/>
  <c r="K943" i="99" s="1"/>
  <c r="K53" i="74"/>
  <c r="K55" i="74"/>
  <c r="K950" i="99" s="1"/>
  <c r="H57" i="74"/>
  <c r="J71" i="74" l="1"/>
  <c r="J966" i="99" s="1"/>
  <c r="K948" i="99"/>
  <c r="J960" i="99"/>
  <c r="S934" i="99" s="1"/>
  <c r="J961" i="99"/>
  <c r="J965" i="99"/>
  <c r="H70" i="74"/>
  <c r="H66"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974" i="99" s="1"/>
  <c r="B80" i="74"/>
  <c r="B975" i="99" s="1"/>
  <c r="C78" i="74"/>
  <c r="C86" i="74" s="1"/>
  <c r="C981" i="99" s="1"/>
  <c r="B85" i="74"/>
  <c r="B87" i="74"/>
  <c r="B982" i="99" s="1"/>
  <c r="S36" i="74"/>
  <c r="H64" i="82"/>
  <c r="H65" i="74"/>
  <c r="H53" i="86"/>
  <c r="G66" i="82"/>
  <c r="G71" i="82"/>
  <c r="G74" i="82" s="1"/>
  <c r="K49" i="74"/>
  <c r="K944" i="99" s="1"/>
  <c r="K947" i="99" s="1"/>
  <c r="K952" i="99" s="1"/>
  <c r="C95" i="74"/>
  <c r="C990" i="99" s="1"/>
  <c r="K71" i="74" l="1"/>
  <c r="K966" i="99" s="1"/>
  <c r="B980" i="99"/>
  <c r="K960" i="99"/>
  <c r="S935" i="99" s="1"/>
  <c r="K965" i="99"/>
  <c r="K961" i="99"/>
  <c r="I66" i="74"/>
  <c r="I70" i="74"/>
  <c r="H57" i="86"/>
  <c r="H58" i="86" s="1"/>
  <c r="H60" i="86" s="1"/>
  <c r="H64" i="86" s="1"/>
  <c r="K25" i="86" s="1"/>
  <c r="C86" i="90"/>
  <c r="F60" i="89"/>
  <c r="C103" i="74"/>
  <c r="C998" i="99" s="1"/>
  <c r="I65" i="74"/>
  <c r="L47" i="68"/>
  <c r="L289" i="99" s="1"/>
  <c r="J57" i="74"/>
  <c r="I64" i="82"/>
  <c r="I66" i="82" s="1"/>
  <c r="K52" i="74"/>
  <c r="B81" i="74"/>
  <c r="B976" i="99" s="1"/>
  <c r="B979" i="99" s="1"/>
  <c r="S37" i="74"/>
  <c r="D95" i="74"/>
  <c r="D990" i="99" s="1"/>
  <c r="H66" i="82"/>
  <c r="H71" i="82"/>
  <c r="H74" i="82" s="1"/>
  <c r="C79" i="74"/>
  <c r="C974" i="99" s="1"/>
  <c r="D78" i="74"/>
  <c r="D86" i="74" s="1"/>
  <c r="D981" i="99" s="1"/>
  <c r="C88" i="74"/>
  <c r="C983" i="99" s="1"/>
  <c r="C80" i="74"/>
  <c r="C975" i="99" s="1"/>
  <c r="C85" i="74"/>
  <c r="C87" i="74"/>
  <c r="C982" i="99" s="1"/>
  <c r="G75" i="82"/>
  <c r="G76" i="82" s="1"/>
  <c r="B984" i="99" l="1"/>
  <c r="B991" i="99" s="1"/>
  <c r="B102" i="74"/>
  <c r="B997" i="99"/>
  <c r="C980" i="99"/>
  <c r="J66" i="74"/>
  <c r="J70" i="74"/>
  <c r="B996" i="99"/>
  <c r="D103" i="74"/>
  <c r="D998" i="99" s="1"/>
  <c r="I71" i="82"/>
  <c r="I74" i="82" s="1"/>
  <c r="I75" i="82" s="1"/>
  <c r="I76" i="82" s="1"/>
  <c r="J65" i="74"/>
  <c r="F85" i="92"/>
  <c r="F89" i="92" s="1"/>
  <c r="F105" i="92" s="1"/>
  <c r="S38" i="74"/>
  <c r="J64" i="82"/>
  <c r="J66" i="82" s="1"/>
  <c r="E78" i="74"/>
  <c r="E86" i="74" s="1"/>
  <c r="E981" i="99" s="1"/>
  <c r="D79" i="74"/>
  <c r="D974" i="99" s="1"/>
  <c r="D80" i="74"/>
  <c r="D975" i="99" s="1"/>
  <c r="D88" i="74"/>
  <c r="D983" i="99" s="1"/>
  <c r="D85" i="74"/>
  <c r="D87" i="74"/>
  <c r="D982" i="99" s="1"/>
  <c r="C81" i="74"/>
  <c r="C976" i="99" s="1"/>
  <c r="C979" i="99" s="1"/>
  <c r="E95" i="74"/>
  <c r="E990" i="99" s="1"/>
  <c r="B84" i="74"/>
  <c r="H75" i="82"/>
  <c r="H76" i="82" s="1"/>
  <c r="K57" i="74"/>
  <c r="B992" i="99" l="1"/>
  <c r="C984" i="99"/>
  <c r="C992" i="99" s="1"/>
  <c r="C102" i="74"/>
  <c r="C997" i="99"/>
  <c r="D980" i="99"/>
  <c r="K66" i="74"/>
  <c r="K70" i="74"/>
  <c r="C991" i="99"/>
  <c r="C996" i="99"/>
  <c r="E103" i="74"/>
  <c r="E998" i="99" s="1"/>
  <c r="S39" i="74"/>
  <c r="J71" i="82"/>
  <c r="J74" i="82" s="1"/>
  <c r="J75" i="82" s="1"/>
  <c r="J76" i="82" s="1"/>
  <c r="C84" i="74"/>
  <c r="F95" i="74"/>
  <c r="F990" i="99" s="1"/>
  <c r="K65" i="74"/>
  <c r="K64" i="82"/>
  <c r="D81" i="74"/>
  <c r="D976" i="99" s="1"/>
  <c r="D979" i="99" s="1"/>
  <c r="F78" i="74"/>
  <c r="F86" i="74" s="1"/>
  <c r="F981" i="99" s="1"/>
  <c r="E88" i="74"/>
  <c r="E983" i="99" s="1"/>
  <c r="E79" i="74"/>
  <c r="E974" i="99" s="1"/>
  <c r="E80" i="74"/>
  <c r="E975" i="99" s="1"/>
  <c r="E85" i="74"/>
  <c r="E87" i="74"/>
  <c r="E982" i="99" s="1"/>
  <c r="B89" i="74"/>
  <c r="D984" i="99" l="1"/>
  <c r="D991" i="99" s="1"/>
  <c r="D102" i="74"/>
  <c r="D997" i="99"/>
  <c r="E980" i="99"/>
  <c r="B97" i="74"/>
  <c r="B101" i="74"/>
  <c r="F103" i="74"/>
  <c r="F998" i="99" s="1"/>
  <c r="B96" i="74"/>
  <c r="C89" i="74"/>
  <c r="D84" i="74"/>
  <c r="E81" i="74"/>
  <c r="E976" i="99" s="1"/>
  <c r="E979" i="99" s="1"/>
  <c r="K71" i="82"/>
  <c r="K74" i="82" s="1"/>
  <c r="K66" i="82"/>
  <c r="F88" i="74"/>
  <c r="F983" i="99" s="1"/>
  <c r="G78" i="74"/>
  <c r="G86" i="74" s="1"/>
  <c r="G981" i="99" s="1"/>
  <c r="F80" i="74"/>
  <c r="F975" i="99" s="1"/>
  <c r="F79" i="74"/>
  <c r="F974" i="99" s="1"/>
  <c r="F85" i="74"/>
  <c r="F87" i="74"/>
  <c r="F982" i="99" s="1"/>
  <c r="S40" i="74"/>
  <c r="G95" i="74"/>
  <c r="G990" i="99" s="1"/>
  <c r="D996" i="99" l="1"/>
  <c r="D992" i="99"/>
  <c r="E984" i="99"/>
  <c r="E996" i="99" s="1"/>
  <c r="E102" i="74"/>
  <c r="E997" i="99"/>
  <c r="F980" i="99"/>
  <c r="C101" i="74"/>
  <c r="C97" i="74"/>
  <c r="G103" i="74"/>
  <c r="G998" i="99" s="1"/>
  <c r="C96" i="74"/>
  <c r="E84" i="74"/>
  <c r="G79" i="74"/>
  <c r="G974" i="99" s="1"/>
  <c r="G88" i="74"/>
  <c r="G983" i="99" s="1"/>
  <c r="G80" i="74"/>
  <c r="G975" i="99" s="1"/>
  <c r="H78" i="74"/>
  <c r="H86" i="74" s="1"/>
  <c r="H981" i="99" s="1"/>
  <c r="G85" i="74"/>
  <c r="G87" i="74"/>
  <c r="G982" i="99" s="1"/>
  <c r="K75" i="82"/>
  <c r="K76" i="82" s="1"/>
  <c r="H95" i="74"/>
  <c r="H990" i="99" s="1"/>
  <c r="F81" i="74"/>
  <c r="F976" i="99" s="1"/>
  <c r="F979" i="99" s="1"/>
  <c r="D89" i="74"/>
  <c r="E992" i="99" l="1"/>
  <c r="E991" i="99"/>
  <c r="F984" i="99"/>
  <c r="F996" i="99" s="1"/>
  <c r="F102" i="74"/>
  <c r="F997" i="99"/>
  <c r="G980" i="99"/>
  <c r="D101" i="74"/>
  <c r="D97" i="74"/>
  <c r="H103" i="74"/>
  <c r="H998" i="99" s="1"/>
  <c r="D96" i="74"/>
  <c r="E89" i="74"/>
  <c r="F84" i="74"/>
  <c r="H88" i="74"/>
  <c r="H983" i="99" s="1"/>
  <c r="H80" i="74"/>
  <c r="H975" i="99" s="1"/>
  <c r="H79" i="74"/>
  <c r="H974" i="99" s="1"/>
  <c r="I78" i="74"/>
  <c r="I86" i="74" s="1"/>
  <c r="I981" i="99" s="1"/>
  <c r="H85" i="74"/>
  <c r="H87" i="74"/>
  <c r="H982" i="99" s="1"/>
  <c r="G81" i="74"/>
  <c r="G976" i="99" s="1"/>
  <c r="G979" i="99" s="1"/>
  <c r="I95" i="74"/>
  <c r="I990" i="99" s="1"/>
  <c r="F992" i="99" l="1"/>
  <c r="G984" i="99"/>
  <c r="G991" i="99" s="1"/>
  <c r="F991" i="99"/>
  <c r="G102" i="74"/>
  <c r="G997" i="99"/>
  <c r="H980" i="99"/>
  <c r="E97" i="74"/>
  <c r="E101" i="74"/>
  <c r="I103" i="74"/>
  <c r="I998" i="99" s="1"/>
  <c r="E96" i="74"/>
  <c r="F89" i="74"/>
  <c r="G84" i="74"/>
  <c r="I88" i="74"/>
  <c r="I983" i="99" s="1"/>
  <c r="I79" i="74"/>
  <c r="I974" i="99" s="1"/>
  <c r="J78" i="74"/>
  <c r="J86" i="74" s="1"/>
  <c r="J981" i="99" s="1"/>
  <c r="I80" i="74"/>
  <c r="I975" i="99" s="1"/>
  <c r="I85" i="74"/>
  <c r="I87" i="74"/>
  <c r="I982" i="99" s="1"/>
  <c r="H81" i="74"/>
  <c r="H976" i="99" s="1"/>
  <c r="H979" i="99" s="1"/>
  <c r="J95" i="74"/>
  <c r="J990" i="99" s="1"/>
  <c r="G992" i="99" l="1"/>
  <c r="H984" i="99"/>
  <c r="G996" i="99"/>
  <c r="H102" i="74"/>
  <c r="H997" i="99"/>
  <c r="I980" i="99"/>
  <c r="H991" i="99"/>
  <c r="H992" i="99"/>
  <c r="H996" i="99"/>
  <c r="F97" i="74"/>
  <c r="F101" i="74"/>
  <c r="J103" i="74"/>
  <c r="J998" i="99" s="1"/>
  <c r="F96" i="74"/>
  <c r="J80" i="74"/>
  <c r="J975" i="99" s="1"/>
  <c r="K78" i="74"/>
  <c r="K86" i="74" s="1"/>
  <c r="K981" i="99" s="1"/>
  <c r="J79" i="74"/>
  <c r="J974" i="99" s="1"/>
  <c r="J88" i="74"/>
  <c r="J983" i="99" s="1"/>
  <c r="J85" i="74"/>
  <c r="J87" i="74"/>
  <c r="J982" i="99" s="1"/>
  <c r="I81" i="74"/>
  <c r="I976" i="99" s="1"/>
  <c r="I979" i="99" s="1"/>
  <c r="K95" i="74"/>
  <c r="K990" i="99" s="1"/>
  <c r="G89" i="74"/>
  <c r="H84" i="74"/>
  <c r="I984" i="99" l="1"/>
  <c r="I996" i="99" s="1"/>
  <c r="I102" i="74"/>
  <c r="I997" i="99"/>
  <c r="J980" i="99"/>
  <c r="G97" i="74"/>
  <c r="G101" i="74"/>
  <c r="K103" i="74"/>
  <c r="K998" i="99" s="1"/>
  <c r="G96" i="74"/>
  <c r="H89" i="74"/>
  <c r="J81" i="74"/>
  <c r="J976" i="99" s="1"/>
  <c r="J979" i="99" s="1"/>
  <c r="B125" i="74"/>
  <c r="B1020" i="99" s="1"/>
  <c r="K80" i="74"/>
  <c r="K975" i="99" s="1"/>
  <c r="B108" i="74"/>
  <c r="B116" i="74" s="1"/>
  <c r="B1011" i="99" s="1"/>
  <c r="K88" i="74"/>
  <c r="K983" i="99" s="1"/>
  <c r="K79" i="74"/>
  <c r="K974" i="99" s="1"/>
  <c r="K85" i="74"/>
  <c r="K87" i="74"/>
  <c r="K982" i="99" s="1"/>
  <c r="I84" i="74"/>
  <c r="I992" i="99" l="1"/>
  <c r="I991" i="99"/>
  <c r="J984" i="99"/>
  <c r="J992" i="99" s="1"/>
  <c r="J102" i="74"/>
  <c r="J997" i="99"/>
  <c r="K980" i="99"/>
  <c r="H97" i="74"/>
  <c r="H101" i="74"/>
  <c r="B133" i="74"/>
  <c r="B1028" i="99" s="1"/>
  <c r="H96" i="74"/>
  <c r="J84" i="74"/>
  <c r="K81" i="74"/>
  <c r="K976" i="99" s="1"/>
  <c r="K979" i="99" s="1"/>
  <c r="C125" i="74"/>
  <c r="C1020" i="99" s="1"/>
  <c r="I89" i="74"/>
  <c r="B109" i="74"/>
  <c r="B1004" i="99" s="1"/>
  <c r="C108" i="74"/>
  <c r="C116" i="74" s="1"/>
  <c r="C1011" i="99" s="1"/>
  <c r="B110" i="74"/>
  <c r="B1005" i="99" s="1"/>
  <c r="B118" i="74"/>
  <c r="B1013" i="99" s="1"/>
  <c r="B115" i="74"/>
  <c r="B117" i="74"/>
  <c r="B1012" i="99" s="1"/>
  <c r="J996" i="99" l="1"/>
  <c r="J991" i="99"/>
  <c r="K984" i="99"/>
  <c r="K996" i="99" s="1"/>
  <c r="K102" i="74"/>
  <c r="K997" i="99"/>
  <c r="B1010" i="99"/>
  <c r="I97" i="74"/>
  <c r="I101" i="74"/>
  <c r="C133" i="74"/>
  <c r="C1028" i="99" s="1"/>
  <c r="I96" i="74"/>
  <c r="J89" i="74"/>
  <c r="K84" i="74"/>
  <c r="D108" i="74"/>
  <c r="D116" i="74" s="1"/>
  <c r="D1011" i="99" s="1"/>
  <c r="C109" i="74"/>
  <c r="C1004" i="99" s="1"/>
  <c r="C118" i="74"/>
  <c r="C1013" i="99" s="1"/>
  <c r="C110" i="74"/>
  <c r="C1005" i="99" s="1"/>
  <c r="C115" i="74"/>
  <c r="C117" i="74"/>
  <c r="C1012" i="99" s="1"/>
  <c r="D125" i="74"/>
  <c r="D1020" i="99" s="1"/>
  <c r="B111" i="74"/>
  <c r="B1006" i="99" s="1"/>
  <c r="B1009" i="99" s="1"/>
  <c r="K992" i="99" l="1"/>
  <c r="K991" i="99"/>
  <c r="B1014" i="99"/>
  <c r="B1021" i="99" s="1"/>
  <c r="B132" i="74"/>
  <c r="B1027" i="99"/>
  <c r="C1010" i="99"/>
  <c r="J101" i="74"/>
  <c r="J97" i="74"/>
  <c r="D133" i="74"/>
  <c r="D1028" i="99" s="1"/>
  <c r="K89" i="74"/>
  <c r="J96" i="74"/>
  <c r="B114" i="74"/>
  <c r="C111" i="74"/>
  <c r="C1006" i="99" s="1"/>
  <c r="C1009" i="99" s="1"/>
  <c r="E125" i="74"/>
  <c r="E1020" i="99" s="1"/>
  <c r="D118" i="74"/>
  <c r="D1013" i="99" s="1"/>
  <c r="D109" i="74"/>
  <c r="D1004" i="99" s="1"/>
  <c r="E108" i="74"/>
  <c r="E116" i="74" s="1"/>
  <c r="E1011" i="99" s="1"/>
  <c r="D110" i="74"/>
  <c r="D1005" i="99" s="1"/>
  <c r="D115" i="74"/>
  <c r="D117" i="74"/>
  <c r="D1012" i="99" s="1"/>
  <c r="B1026" i="99" l="1"/>
  <c r="B1022" i="99"/>
  <c r="C1014" i="99"/>
  <c r="C1021" i="99" s="1"/>
  <c r="C132" i="74"/>
  <c r="C1027" i="99"/>
  <c r="D1010" i="99"/>
  <c r="K97" i="74"/>
  <c r="K101" i="74"/>
  <c r="E133" i="74"/>
  <c r="E1028" i="99" s="1"/>
  <c r="K96" i="74"/>
  <c r="B119" i="74"/>
  <c r="C114" i="74"/>
  <c r="F125" i="74"/>
  <c r="F1020" i="99" s="1"/>
  <c r="F108" i="74"/>
  <c r="F116" i="74" s="1"/>
  <c r="F1011" i="99" s="1"/>
  <c r="E109" i="74"/>
  <c r="E1004" i="99" s="1"/>
  <c r="E118" i="74"/>
  <c r="E1013" i="99" s="1"/>
  <c r="E110" i="74"/>
  <c r="E1005" i="99" s="1"/>
  <c r="E115" i="74"/>
  <c r="E117" i="74"/>
  <c r="E1012" i="99" s="1"/>
  <c r="D111" i="74"/>
  <c r="D1006" i="99" s="1"/>
  <c r="D1009" i="99" s="1"/>
  <c r="C1022" i="99" l="1"/>
  <c r="C1026" i="99"/>
  <c r="D1014" i="99"/>
  <c r="D1022" i="99" s="1"/>
  <c r="D132" i="74"/>
  <c r="D1027" i="99"/>
  <c r="E1010" i="99"/>
  <c r="B127" i="74"/>
  <c r="B131" i="74"/>
  <c r="F133" i="74"/>
  <c r="F1028" i="99" s="1"/>
  <c r="B126" i="74"/>
  <c r="C119" i="74"/>
  <c r="E111" i="74"/>
  <c r="E1006" i="99" s="1"/>
  <c r="E1009" i="99" s="1"/>
  <c r="F118" i="74"/>
  <c r="F1013" i="99" s="1"/>
  <c r="F110" i="74"/>
  <c r="F1005" i="99" s="1"/>
  <c r="F109" i="74"/>
  <c r="F1004" i="99" s="1"/>
  <c r="F115" i="74"/>
  <c r="F117" i="74"/>
  <c r="F1012" i="99" s="1"/>
  <c r="D114" i="74"/>
  <c r="D1021" i="99" l="1"/>
  <c r="D1026" i="99"/>
  <c r="E1014" i="99"/>
  <c r="E1026" i="99" s="1"/>
  <c r="E132" i="74"/>
  <c r="E1027" i="99"/>
  <c r="F1010" i="99"/>
  <c r="C127" i="74"/>
  <c r="C131" i="74"/>
  <c r="C126" i="74"/>
  <c r="E114" i="74"/>
  <c r="F111" i="74"/>
  <c r="F1006" i="99" s="1"/>
  <c r="F1009" i="99" s="1"/>
  <c r="D119" i="74"/>
  <c r="E1022" i="99" l="1"/>
  <c r="E1021" i="99"/>
  <c r="F1014" i="99"/>
  <c r="F132" i="74"/>
  <c r="F1027" i="99"/>
  <c r="F1021" i="99"/>
  <c r="F1026" i="99"/>
  <c r="F1022" i="99"/>
  <c r="D127" i="74"/>
  <c r="D131" i="74"/>
  <c r="D126" i="74"/>
  <c r="E119" i="74"/>
  <c r="F114" i="74"/>
  <c r="E127" i="74" l="1"/>
  <c r="E131" i="74"/>
  <c r="E126" i="74"/>
  <c r="F119" i="74"/>
  <c r="F127" i="74" l="1"/>
  <c r="F131" i="74"/>
  <c r="F126" i="74"/>
  <c r="E15" i="72" l="1"/>
  <c r="E20" i="72" l="1"/>
  <c r="E21" i="72" l="1"/>
  <c r="E16" i="72" l="1"/>
  <c r="P232" i="72"/>
  <c r="P441" i="72" l="1"/>
  <c r="P6" i="72" s="1"/>
  <c r="P1723" i="99"/>
  <c r="O6" i="72"/>
  <c r="L232" i="72"/>
  <c r="L190" i="72"/>
  <c r="AE44" i="72"/>
  <c r="AE62" i="72" s="1"/>
  <c r="AD44" i="72"/>
  <c r="AD62" i="72" s="1"/>
  <c r="Y44" i="72"/>
  <c r="Y62" i="72" s="1"/>
  <c r="X44" i="72"/>
  <c r="X62" i="72" s="1"/>
  <c r="E19" i="72"/>
  <c r="AE1535" i="99" l="1"/>
  <c r="AE1553" i="99" s="1"/>
  <c r="AD1535" i="99"/>
  <c r="AD1553" i="99" s="1"/>
  <c r="P1932" i="99"/>
  <c r="P1497" i="99" s="1"/>
  <c r="A446" i="72" l="1" a="1"/>
  <c r="A446" i="72"/>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s>
  <commentList>
    <comment ref="L276"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<sst xmlns="http://schemas.openxmlformats.org/spreadsheetml/2006/main" count="19402" uniqueCount="7005">
  <si>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</si>
  <si>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</si>
  <si>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</si>
  <si>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</si>
  <si>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</si>
  <si>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</si>
  <si>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</si>
  <si>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</si>
  <si>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</si>
  <si>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</si>
  <si>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</si>
  <si>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</si>
  <si>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</si>
  <si>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</si>
  <si>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</si>
  <si>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</si>
  <si>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</si>
  <si>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</si>
  <si>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</si>
  <si>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</si>
  <si>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</si>
  <si>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</si>
  <si>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</si>
  <si>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</si>
  <si>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</si>
  <si>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</si>
  <si>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</si>
  <si>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</si>
  <si>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</si>
  <si>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</si>
  <si>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</si>
  <si>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</si>
  <si>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</si>
  <si>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</si>
  <si>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</si>
  <si>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</si>
  <si>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</si>
  <si>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</si>
  <si>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</si>
  <si>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</si>
  <si>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</si>
  <si>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</si>
  <si>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</si>
  <si>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</si>
  <si>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</si>
  <si>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</si>
  <si>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</si>
  <si>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</si>
  <si>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</si>
  <si>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</si>
  <si>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</si>
  <si>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</si>
  <si>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</si>
  <si>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</si>
  <si>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</si>
  <si>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</si>
  <si>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</si>
  <si>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</si>
  <si>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</si>
  <si>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</si>
  <si>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</si>
  <si>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</si>
  <si>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</si>
  <si>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</si>
  <si>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</si>
  <si>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</si>
  <si>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</si>
  <si>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</si>
  <si>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</si>
  <si>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</si>
  <si>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</si>
  <si>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</si>
  <si>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</si>
  <si>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</si>
  <si>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</si>
  <si>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</si>
  <si>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</si>
  <si>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</si>
  <si>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</si>
  <si>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</si>
  <si>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</si>
  <si>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</si>
  <si>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</si>
  <si>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</si>
  <si>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</si>
  <si>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</si>
  <si>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</si>
  <si>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</si>
  <si>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</si>
  <si>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</si>
  <si>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</si>
  <si>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</si>
  <si>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</si>
  <si>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</si>
  <si>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</si>
  <si>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</si>
  <si>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</si>
  <si>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</si>
  <si>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</si>
  <si>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</si>
  <si>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</si>
  <si>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</si>
  <si>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</si>
  <si>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</si>
  <si>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</si>
  <si>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</si>
  <si>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</si>
  <si>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</si>
  <si>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</si>
  <si>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</si>
  <si>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</si>
  <si>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</si>
  <si>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</si>
  <si>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</si>
  <si>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</si>
  <si>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</si>
  <si>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</si>
  <si>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</si>
  <si>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</si>
  <si>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</si>
  <si>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</si>
  <si>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</si>
  <si>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</si>
  <si>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</si>
  <si>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</si>
  <si>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</si>
  <si>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</si>
  <si>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</si>
  <si>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</si>
  <si>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</si>
  <si>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</si>
  <si>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</si>
  <si>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</si>
  <si>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</si>
  <si>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</si>
  <si>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</si>
  <si>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</si>
  <si>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</si>
  <si>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</si>
  <si>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</si>
  <si>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</si>
  <si>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</si>
  <si>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</si>
  <si>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</si>
  <si>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</si>
  <si>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</si>
  <si>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</si>
  <si>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</si>
  <si>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</si>
  <si>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</si>
  <si>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</si>
  <si>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</si>
  <si>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</si>
  <si>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</si>
  <si>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</si>
  <si>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</si>
  <si>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</si>
  <si>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</si>
  <si>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</si>
  <si>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</si>
  <si>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</si>
  <si>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</si>
  <si>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</si>
  <si>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</si>
  <si>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</si>
  <si>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</si>
  <si>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</si>
  <si>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</si>
  <si>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</si>
  <si>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</si>
  <si>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</si>
  <si>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</si>
  <si>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</si>
  <si>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</si>
  <si>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</si>
  <si>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</si>
  <si>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</si>
  <si>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</si>
  <si>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</si>
  <si>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</si>
  <si>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</si>
  <si>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</si>
  <si>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</si>
  <si>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</si>
  <si>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</si>
  <si>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</si>
  <si>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</si>
  <si>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</si>
  <si>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</si>
  <si>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</si>
  <si>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</si>
  <si>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</si>
  <si>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</si>
  <si>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</si>
  <si>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</si>
  <si>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</si>
  <si>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</si>
  <si>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</si>
  <si>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</si>
  <si>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</si>
  <si>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</si>
  <si>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</si>
  <si>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</si>
  <si>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</si>
  <si>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</si>
  <si>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</si>
  <si>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</si>
  <si>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</si>
  <si>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</si>
  <si>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</si>
  <si>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</si>
  <si>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</si>
  <si>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</si>
  <si>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</si>
  <si>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</si>
  <si>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</si>
  <si>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</si>
  <si>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</si>
  <si>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</si>
  <si>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</si>
  <si>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</si>
  <si>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</si>
  <si>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</si>
  <si>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</si>
  <si>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</si>
  <si>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</si>
  <si>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</si>
  <si>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</si>
  <si>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</si>
  <si>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</si>
  <si>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</si>
  <si>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</si>
  <si>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</si>
  <si>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</si>
  <si>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</si>
  <si>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</si>
  <si>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</si>
  <si>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</si>
  <si>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</si>
  <si>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</si>
  <si>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</si>
  <si>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</si>
  <si>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</si>
  <si>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</si>
  <si>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</si>
  <si>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</si>
  <si>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</si>
  <si>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</si>
  <si>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</si>
  <si>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</si>
  <si>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</si>
  <si>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</si>
  <si>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</si>
  <si>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</si>
  <si>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</si>
  <si>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</si>
  <si>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</si>
  <si>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</si>
  <si>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</si>
  <si>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</si>
  <si>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</si>
  <si>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</si>
  <si>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</si>
  <si>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</si>
  <si>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</si>
  <si>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</si>
  <si>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</si>
  <si>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</si>
  <si>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</si>
  <si>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</si>
  <si>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</si>
  <si>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</si>
  <si>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</si>
  <si>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</si>
  <si>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</si>
  <si>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</si>
  <si>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</si>
  <si>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</si>
  <si>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</si>
  <si>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</si>
  <si>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</si>
  <si>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</si>
  <si>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</si>
  <si>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</si>
  <si>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</si>
  <si>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</si>
  <si>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</si>
  <si>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</si>
  <si>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</si>
  <si>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</si>
  <si>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</si>
  <si>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</si>
  <si>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</si>
  <si>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</si>
  <si>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</si>
  <si>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</si>
  <si>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</si>
  <si>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</si>
  <si>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</si>
  <si>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</si>
  <si>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</si>
  <si>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</si>
  <si>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</si>
  <si>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</si>
  <si>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</si>
  <si>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</si>
  <si>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</si>
  <si>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</si>
  <si>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</si>
  <si>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</si>
  <si>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</si>
  <si>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</si>
  <si>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</si>
  <si>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</si>
  <si>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</si>
  <si>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</si>
  <si>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</si>
  <si>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</si>
  <si>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</si>
  <si>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</si>
  <si>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</si>
  <si>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</si>
  <si>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</si>
  <si>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</si>
  <si>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</si>
  <si>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</si>
  <si>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</si>
  <si>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</si>
  <si>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</si>
  <si>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</si>
  <si>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</si>
  <si>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</si>
  <si>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</si>
  <si>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</si>
  <si>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</si>
  <si>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</si>
  <si>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</si>
  <si>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</si>
  <si>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</si>
  <si>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</si>
  <si>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</si>
  <si>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</si>
  <si>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</si>
  <si>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</si>
  <si>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</si>
  <si>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</si>
  <si>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</si>
  <si>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</si>
  <si>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</si>
  <si>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</si>
  <si>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</si>
  <si>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</si>
  <si>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</si>
  <si>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</si>
  <si>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</si>
  <si>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</si>
  <si>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</si>
  <si>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</si>
  <si>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</si>
  <si>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</si>
  <si>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</si>
  <si>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</si>
  <si>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</si>
  <si>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</si>
  <si>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</si>
  <si>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</si>
  <si>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</si>
  <si>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</si>
  <si>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</si>
  <si>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</si>
  <si>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</si>
  <si>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</si>
  <si>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</si>
  <si>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</si>
  <si>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</si>
  <si>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</si>
  <si>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</si>
  <si>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</si>
  <si>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</si>
  <si>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</si>
  <si>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</si>
  <si>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</si>
  <si>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</si>
  <si>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</si>
  <si>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</si>
  <si>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</si>
  <si>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</si>
  <si>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</si>
  <si>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</si>
  <si>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</si>
  <si>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</si>
  <si>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</si>
  <si>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</si>
  <si>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</si>
  <si>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</si>
  <si>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</si>
  <si>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</si>
  <si>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</si>
  <si>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</si>
  <si>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</si>
  <si>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</si>
  <si>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</si>
  <si>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</si>
  <si>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</si>
  <si>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</si>
  <si>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</si>
  <si>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</si>
  <si>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</si>
  <si>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</si>
  <si>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</si>
  <si>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</si>
  <si>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</si>
  <si>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</si>
  <si>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</si>
  <si>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</si>
  <si>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</si>
  <si>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</si>
  <si>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</si>
  <si>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</si>
  <si>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</si>
  <si>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</si>
  <si>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</si>
  <si>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</si>
  <si>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</si>
  <si>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</si>
  <si>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</si>
  <si>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</si>
  <si>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</si>
  <si>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</si>
  <si>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</si>
  <si>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</si>
  <si>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</si>
  <si>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</si>
  <si>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</si>
  <si>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</si>
  <si>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</si>
  <si>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</si>
  <si>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</si>
  <si>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</si>
  <si>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</si>
  <si>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</si>
  <si>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</si>
  <si>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</si>
  <si>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</si>
  <si>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</si>
  <si>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</si>
  <si>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</si>
  <si>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</si>
  <si>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</si>
  <si>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</si>
  <si>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</si>
  <si>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</si>
  <si>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</si>
  <si>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</si>
  <si>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</si>
  <si>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</si>
  <si>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</si>
  <si>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</si>
  <si>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</si>
  <si>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</si>
  <si>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</si>
  <si>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</si>
  <si>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</si>
  <si>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</si>
  <si>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</si>
  <si>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</si>
  <si>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</si>
  <si>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</si>
  <si>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</si>
  <si>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</si>
  <si>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</si>
  <si>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</si>
  <si>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</si>
  <si>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</si>
  <si>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</si>
  <si>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</si>
  <si>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</si>
  <si>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</si>
  <si>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</si>
  <si>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</si>
  <si>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</si>
  <si>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</si>
  <si>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</si>
  <si>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</si>
  <si>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</si>
  <si>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</si>
  <si>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</si>
  <si>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</si>
  <si>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</si>
  <si>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</si>
  <si>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</si>
  <si>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</si>
  <si>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</si>
  <si>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</si>
  <si>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</si>
  <si>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</si>
  <si>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</si>
  <si>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</si>
  <si>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</si>
  <si>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</si>
  <si>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</si>
  <si>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</si>
  <si>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</si>
  <si>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</si>
  <si>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</si>
  <si>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</si>
  <si>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</si>
  <si>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</si>
  <si>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</si>
  <si>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</si>
  <si>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</si>
  <si>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</si>
  <si>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</si>
  <si>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</si>
  <si>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</si>
  <si>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</si>
  <si>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</si>
  <si>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</si>
  <si>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</si>
  <si>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</si>
  <si>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</si>
  <si>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</si>
  <si>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</si>
  <si>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</si>
  <si>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</si>
  <si>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</si>
  <si>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</si>
  <si>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</si>
  <si>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</si>
  <si>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</si>
  <si>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</si>
  <si>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</si>
  <si>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</si>
  <si>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</si>
  <si>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</si>
  <si>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</si>
  <si>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</si>
  <si>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</si>
  <si>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</si>
  <si>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</si>
  <si>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</si>
  <si>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</si>
  <si>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</si>
  <si>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</si>
  <si>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</si>
  <si>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</si>
  <si>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</si>
  <si>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</si>
  <si>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</si>
  <si>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</si>
  <si>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</si>
  <si>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</si>
  <si>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</si>
  <si>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</si>
  <si>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</si>
  <si>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</si>
  <si>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</si>
  <si>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</si>
  <si>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</si>
  <si>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</si>
  <si>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</si>
  <si>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</si>
  <si>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</si>
  <si>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</si>
  <si>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</si>
  <si>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</si>
  <si>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</si>
  <si>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</si>
  <si>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</si>
  <si>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</si>
  <si>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</si>
  <si>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</si>
  <si>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</si>
  <si>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</si>
  <si>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</si>
  <si>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</si>
  <si>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</si>
  <si>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</si>
  <si>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</si>
  <si>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</si>
  <si>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</si>
  <si>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</si>
  <si>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</si>
  <si>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</si>
  <si>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</si>
  <si>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</si>
  <si>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</si>
  <si>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</si>
  <si>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</si>
  <si>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</si>
  <si>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</si>
  <si>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</si>
  <si>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</si>
  <si>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</si>
  <si>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</si>
  <si>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</si>
  <si>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</si>
  <si>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</si>
  <si>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</si>
  <si>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</si>
  <si>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</si>
  <si>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</si>
  <si>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</si>
  <si>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</si>
  <si>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</si>
  <si>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</si>
  <si>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</si>
  <si>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</si>
  <si>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</si>
  <si>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</si>
  <si>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</si>
  <si>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</si>
  <si>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</si>
  <si>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</si>
  <si>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</si>
  <si>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</si>
  <si>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</si>
  <si>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</si>
  <si>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</si>
  <si>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</si>
  <si>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</si>
  <si>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</si>
  <si>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</si>
  <si>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</si>
  <si>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</si>
  <si>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</si>
  <si>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</si>
  <si>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</si>
  <si>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</si>
  <si>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</si>
  <si>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</si>
  <si>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</si>
  <si>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</si>
  <si>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</si>
  <si>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</si>
  <si>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</si>
  <si>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</si>
  <si>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</si>
  <si>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</si>
  <si>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</si>
  <si>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</si>
  <si>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</si>
  <si>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</si>
  <si>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</si>
  <si>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</si>
  <si>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</si>
  <si>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</si>
  <si>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</si>
  <si>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</si>
  <si>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</si>
  <si>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</si>
  <si>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</si>
  <si>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</si>
  <si>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</si>
  <si>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</si>
  <si>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</si>
  <si>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</si>
  <si>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</si>
  <si>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</si>
  <si>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</si>
  <si>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</si>
  <si>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</si>
  <si>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</si>
  <si>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</si>
  <si>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</si>
  <si>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</si>
  <si>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</si>
  <si>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</si>
  <si>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</si>
  <si>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</si>
  <si>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</si>
  <si>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</si>
  <si>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</si>
  <si>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</si>
  <si>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</si>
  <si>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</si>
  <si>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</si>
  <si>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</si>
  <si>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</si>
  <si>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</si>
  <si>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</si>
  <si>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</si>
  <si>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</si>
  <si>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</si>
  <si>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</si>
  <si>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</si>
  <si>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</si>
  <si>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</si>
  <si>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</si>
  <si>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</si>
  <si>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</si>
  <si>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</si>
  <si>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</si>
  <si>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</si>
  <si>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</si>
  <si>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</si>
  <si>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</si>
  <si>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</si>
  <si>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</si>
  <si>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</si>
  <si>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</si>
  <si>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</si>
  <si>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</si>
  <si>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</si>
  <si>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</si>
  <si>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</si>
  <si>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</si>
  <si>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</si>
  <si>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</si>
  <si>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</si>
  <si>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</si>
  <si>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</si>
  <si>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</si>
  <si>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</si>
  <si>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</si>
  <si>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</si>
  <si>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</si>
  <si>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</si>
  <si>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</si>
  <si>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</si>
  <si>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</si>
  <si>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</si>
  <si>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</si>
  <si>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</si>
  <si>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</si>
  <si>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</si>
  <si>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</si>
  <si>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</si>
  <si>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</si>
  <si>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</si>
  <si>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</si>
  <si>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</si>
  <si>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</si>
  <si>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</si>
  <si>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</si>
  <si>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</si>
  <si>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</si>
  <si>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</si>
  <si>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</si>
  <si>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</si>
  <si>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</si>
  <si>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</si>
  <si>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</si>
  <si>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</si>
  <si>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</si>
  <si>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</si>
  <si>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</si>
  <si>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</si>
  <si>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</si>
  <si>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</si>
  <si>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</si>
  <si>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</si>
  <si>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</si>
  <si>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</si>
  <si>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</si>
  <si>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</si>
  <si>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</si>
  <si>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</si>
  <si>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</si>
  <si>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</si>
  <si>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</si>
  <si>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</si>
  <si>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</si>
  <si>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</si>
  <si>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</si>
  <si>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</si>
  <si>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</si>
  <si>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</si>
  <si>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</si>
  <si>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</si>
  <si>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</si>
  <si>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</si>
  <si>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</si>
  <si>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</si>
  <si>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</si>
  <si>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</si>
  <si>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</si>
  <si>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</si>
  <si>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</si>
  <si>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</si>
  <si>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</si>
  <si>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</si>
  <si>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</si>
  <si>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</si>
  <si>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</si>
  <si>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</si>
  <si>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</si>
  <si>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</si>
  <si>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</si>
  <si>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</si>
  <si>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</si>
  <si>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</si>
  <si>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</si>
  <si>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</si>
  <si>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</si>
  <si>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</si>
  <si>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</si>
  <si>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</si>
  <si>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</si>
  <si>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</si>
  <si>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</si>
  <si>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</si>
  <si>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</si>
  <si>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</si>
  <si>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</si>
  <si>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</si>
  <si>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</si>
  <si>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</si>
  <si>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</si>
  <si>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</si>
  <si>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</si>
  <si>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</si>
  <si>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</si>
  <si>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</si>
  <si>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</si>
  <si>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</si>
  <si>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</si>
  <si>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</si>
  <si>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</si>
  <si>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</si>
  <si>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</si>
  <si>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</si>
  <si>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</si>
  <si>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</si>
  <si>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</si>
  <si>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</si>
  <si>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</si>
  <si>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</si>
  <si>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</si>
  <si>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</si>
  <si>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</si>
  <si>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</si>
  <si>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</si>
  <si>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</si>
  <si>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</si>
  <si>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</si>
  <si>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</si>
  <si>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</si>
  <si>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</si>
  <si>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</si>
  <si>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</si>
  <si>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</si>
  <si>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</si>
  <si>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</si>
  <si>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</si>
  <si>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</si>
  <si>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</si>
  <si>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</si>
  <si>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</si>
  <si>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</si>
  <si>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</si>
  <si>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</si>
  <si>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</si>
  <si>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</si>
  <si>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</si>
  <si>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</si>
  <si>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</si>
  <si>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</si>
  <si>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</si>
  <si>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</si>
  <si>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</si>
  <si>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</si>
  <si>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</si>
  <si>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</si>
  <si>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</si>
  <si>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</si>
  <si>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</si>
  <si>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</si>
  <si>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</si>
  <si>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</si>
  <si>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</si>
  <si>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</si>
  <si>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</si>
  <si>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</si>
  <si>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</si>
  <si>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</si>
  <si>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</si>
  <si>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</si>
  <si>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</si>
  <si>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</si>
  <si>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</si>
  <si>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</si>
  <si>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</si>
  <si>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</si>
  <si>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</si>
  <si>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</si>
  <si>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</si>
  <si>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</si>
  <si>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</si>
  <si>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</si>
  <si>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</si>
  <si>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</si>
  <si>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</si>
  <si>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</si>
  <si>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</si>
  <si>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</si>
  <si>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</si>
  <si>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</si>
  <si>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</si>
  <si>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</si>
  <si>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</si>
  <si>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</si>
  <si>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</si>
  <si>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</si>
  <si>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</si>
  <si>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</si>
  <si>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</si>
  <si>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</si>
  <si>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</si>
  <si>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</si>
  <si>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</si>
  <si>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</si>
  <si>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</si>
  <si>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</si>
  <si>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</si>
  <si>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</si>
  <si>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</si>
  <si>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</si>
  <si>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</si>
  <si>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</si>
  <si>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</si>
  <si>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</si>
  <si>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</si>
  <si>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</si>
  <si>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</si>
  <si>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</si>
  <si>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</si>
  <si>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</si>
  <si>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</si>
  <si>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</si>
  <si>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</si>
  <si>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</si>
  <si>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</si>
  <si>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</si>
  <si>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</si>
  <si>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</si>
  <si>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</si>
  <si>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</si>
  <si>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</si>
  <si>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</si>
  <si>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</si>
  <si>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</si>
  <si>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</si>
  <si>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</si>
  <si>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</si>
  <si>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</si>
  <si>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</si>
  <si>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</si>
  <si>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</si>
  <si>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</si>
  <si>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</si>
  <si>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</si>
  <si>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</si>
  <si>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</si>
  <si>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</si>
  <si>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</si>
  <si>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</si>
  <si>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</si>
  <si>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</si>
  <si>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</si>
  <si>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</si>
  <si>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</si>
  <si>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</si>
  <si>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</si>
  <si>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</si>
  <si>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</si>
  <si>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</si>
  <si>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</si>
  <si>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</si>
  <si>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</si>
  <si>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</si>
  <si>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</si>
  <si>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</si>
  <si>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</si>
  <si>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</si>
  <si>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</si>
  <si>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</si>
  <si>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</si>
  <si>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</si>
  <si>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</si>
  <si>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</si>
  <si>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</si>
  <si>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</si>
  <si>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</si>
  <si>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</si>
  <si>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</si>
  <si>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</si>
  <si>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</si>
  <si>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</si>
  <si>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</si>
  <si>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</si>
  <si>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</si>
  <si>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</si>
  <si>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</si>
  <si>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</si>
  <si>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</si>
  <si>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</si>
  <si>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</si>
  <si>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</si>
  <si>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</si>
  <si>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</si>
  <si>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</si>
  <si>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</si>
  <si>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</si>
  <si>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</si>
  <si>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</si>
  <si>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</si>
  <si>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</si>
  <si>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</si>
  <si>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</si>
  <si>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</si>
  <si>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</si>
  <si>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</si>
  <si>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</si>
  <si>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</si>
  <si>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</si>
  <si>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</si>
  <si>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</si>
  <si>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</si>
  <si>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</si>
  <si>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</si>
  <si>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</si>
  <si>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</si>
  <si>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</si>
  <si>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</si>
  <si>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</si>
  <si>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</si>
  <si>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</si>
  <si>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</si>
  <si>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</si>
  <si>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</si>
  <si>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</si>
  <si>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</si>
  <si>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</si>
  <si>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</si>
  <si>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</si>
  <si>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</si>
  <si>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</si>
  <si>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</si>
  <si>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</si>
  <si>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</si>
  <si>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</si>
  <si>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</si>
  <si>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</si>
  <si>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</si>
  <si>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</si>
  <si>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</si>
  <si>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</si>
  <si>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</si>
  <si>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</si>
  <si>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</si>
  <si>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</si>
  <si>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</si>
  <si>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</si>
  <si>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</si>
  <si>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</si>
  <si>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</si>
  <si>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</si>
  <si>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</si>
  <si>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</si>
  <si>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</si>
  <si>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</si>
  <si>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</si>
  <si>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</si>
  <si>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</si>
  <si>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</si>
  <si>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</si>
  <si>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</si>
  <si>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</si>
  <si>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</si>
  <si>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</si>
  <si>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</si>
  <si>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</si>
  <si>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</si>
  <si>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</si>
  <si>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</si>
  <si>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</si>
  <si>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</si>
  <si>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</si>
  <si>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</si>
  <si>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</si>
  <si>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</si>
  <si>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</si>
  <si>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</si>
  <si>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</si>
  <si>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</si>
  <si>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</si>
  <si>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</si>
  <si>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</si>
  <si>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</si>
  <si>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</si>
  <si>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</si>
  <si>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</si>
  <si>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</si>
  <si>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</si>
  <si>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</si>
  <si>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</si>
  <si>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</si>
  <si>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</si>
  <si>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</si>
  <si>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</si>
  <si>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</si>
  <si>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</si>
  <si>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</si>
  <si>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</si>
  <si>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</si>
  <si>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</si>
  <si>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</si>
  <si>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</si>
  <si>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</si>
  <si>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</si>
  <si>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</si>
  <si>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</si>
  <si>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</si>
  <si>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</si>
  <si>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</si>
  <si>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</si>
  <si>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</si>
  <si>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</si>
  <si>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</si>
  <si>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</si>
  <si>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</si>
  <si>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</si>
  <si>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</si>
  <si>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</si>
  <si>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</si>
  <si>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</si>
  <si>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</si>
  <si>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</si>
  <si>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</si>
  <si>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</si>
  <si>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</si>
  <si>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</si>
  <si>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</si>
  <si>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</si>
  <si>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</si>
  <si>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</si>
  <si>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</si>
  <si>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</si>
  <si>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</si>
  <si>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</si>
  <si>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</si>
  <si>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</si>
  <si>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</si>
  <si>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</si>
  <si>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</si>
  <si>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</si>
  <si>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</si>
  <si>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</si>
  <si>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</si>
  <si>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</si>
  <si>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</si>
  <si>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</si>
  <si>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</si>
  <si>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</si>
  <si>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</si>
  <si>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</si>
  <si>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</si>
  <si>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</si>
  <si>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</si>
  <si>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</si>
  <si>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</si>
  <si>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</si>
  <si>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</si>
  <si>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</si>
  <si>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</si>
  <si>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</si>
  <si>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</si>
  <si>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</si>
  <si>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</si>
  <si>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</si>
  <si>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</si>
  <si>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</si>
  <si>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</si>
  <si>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</si>
  <si>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</si>
  <si>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</si>
  <si>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</si>
  <si>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</si>
  <si>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</si>
  <si>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</si>
  <si>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</si>
  <si>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</si>
  <si>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</si>
  <si>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</si>
  <si>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</si>
  <si>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</si>
  <si>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</si>
  <si>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</si>
  <si>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</si>
  <si>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</si>
  <si>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</si>
  <si>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</si>
  <si>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</si>
  <si>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</si>
  <si>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</si>
  <si>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</si>
  <si>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</si>
  <si>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</si>
  <si>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</si>
  <si>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</si>
  <si>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</si>
  <si>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</si>
  <si>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</si>
  <si>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</si>
  <si>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</si>
  <si>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</si>
  <si>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</si>
  <si>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</si>
  <si>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</si>
  <si>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</si>
  <si>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</si>
  <si>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</si>
  <si>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</si>
  <si>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</si>
  <si>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</si>
  <si>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</si>
  <si>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</si>
  <si>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</si>
  <si>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</si>
  <si>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</si>
  <si>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</si>
  <si>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</si>
  <si>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</si>
  <si>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</si>
  <si>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</si>
  <si>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</si>
  <si>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</si>
  <si>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</si>
  <si>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</si>
  <si>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</si>
  <si>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</si>
  <si>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</si>
  <si>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</si>
  <si>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</si>
  <si>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</si>
  <si>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</si>
  <si>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</si>
  <si>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</si>
  <si>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</si>
  <si>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</si>
  <si>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</si>
  <si>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</si>
  <si>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</si>
  <si>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</si>
  <si>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</si>
  <si>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</si>
  <si>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</si>
  <si>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</si>
  <si>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</si>
  <si>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</si>
  <si>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</si>
  <si>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</si>
  <si>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</si>
  <si>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</si>
  <si>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</si>
  <si>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</si>
  <si>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</si>
  <si>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</si>
  <si>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</si>
  <si>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</si>
  <si>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</si>
  <si>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</si>
  <si>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</si>
  <si>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</si>
  <si>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</si>
  <si>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</si>
  <si>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</si>
  <si>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</si>
  <si>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</si>
  <si>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</si>
  <si>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</si>
  <si>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</si>
  <si>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</si>
  <si>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</si>
  <si>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</si>
  <si>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</si>
  <si>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</si>
  <si>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</si>
  <si>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</si>
  <si>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</si>
  <si>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</si>
  <si>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</si>
  <si>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</si>
  <si>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</si>
  <si>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</si>
  <si>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</si>
  <si>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</si>
  <si>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</si>
  <si>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</si>
  <si>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</si>
  <si>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</si>
  <si>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</si>
  <si>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</si>
  <si>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</si>
  <si>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</si>
  <si>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</si>
  <si>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</si>
  <si>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</si>
  <si>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</si>
  <si>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</si>
  <si>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</si>
  <si>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</si>
  <si>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</si>
  <si>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</si>
  <si>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</si>
  <si>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</si>
  <si>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</si>
  <si>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</si>
  <si>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</si>
  <si>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</si>
  <si>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</si>
  <si>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</si>
  <si>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</si>
  <si>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</si>
  <si>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</si>
  <si>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</si>
  <si>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</si>
  <si>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</si>
  <si>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</si>
  <si>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</si>
  <si>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</si>
  <si>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</si>
  <si>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</si>
  <si>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</si>
  <si>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</si>
  <si>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</si>
  <si>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</si>
  <si>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</si>
  <si>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</si>
  <si>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</si>
  <si>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</si>
  <si>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</si>
  <si>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</si>
  <si>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</si>
  <si>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</si>
  <si>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</si>
  <si>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</si>
  <si>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</si>
  <si>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</si>
  <si>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</si>
  <si>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</si>
  <si>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</si>
  <si>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</si>
  <si>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</si>
  <si>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</si>
  <si>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</si>
  <si>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</si>
  <si>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</si>
  <si>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</si>
  <si>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</si>
  <si>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</si>
  <si>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</si>
  <si>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</si>
  <si>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</si>
  <si>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</si>
  <si>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</si>
  <si>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</si>
  <si>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</si>
  <si>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</si>
  <si>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</si>
  <si>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</si>
  <si>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</si>
  <si>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</si>
  <si>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</si>
  <si>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</si>
  <si>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</si>
  <si>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</si>
  <si>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</si>
  <si>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</si>
  <si>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</si>
  <si>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</si>
  <si>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</si>
  <si>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</si>
  <si>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</si>
  <si>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</si>
  <si>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</si>
  <si>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</si>
  <si>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</si>
  <si>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</si>
  <si>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</si>
  <si>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</si>
  <si>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</si>
  <si>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</si>
  <si>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</si>
  <si>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</si>
  <si>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</si>
  <si>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</si>
  <si>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</si>
  <si>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</si>
  <si>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</si>
  <si>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</si>
  <si>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</si>
  <si>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</si>
  <si>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</si>
  <si>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</si>
  <si>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</si>
  <si>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</si>
  <si>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</si>
  <si>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</si>
  <si>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</si>
  <si>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</si>
  <si>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</si>
  <si>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</si>
  <si>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</si>
  <si>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</si>
  <si>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</si>
  <si>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</si>
  <si>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</si>
  <si>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</si>
  <si>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</si>
  <si>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</si>
  <si>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</si>
  <si>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</si>
  <si>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</si>
  <si>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</si>
  <si>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</si>
  <si>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</si>
  <si>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</si>
  <si>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</si>
  <si>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</si>
  <si>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</si>
  <si>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</si>
  <si>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</si>
  <si>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</si>
  <si>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</si>
  <si>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</si>
  <si>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</si>
  <si>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</si>
  <si>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</si>
  <si>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</si>
  <si>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</si>
  <si>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</si>
  <si>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</si>
  <si>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</si>
  <si>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</si>
  <si>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</si>
  <si>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</si>
  <si>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</si>
  <si>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</si>
  <si>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</si>
  <si>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</si>
  <si>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</si>
  <si>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</si>
  <si>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</si>
  <si>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</si>
  <si>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</si>
  <si>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</si>
  <si>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</si>
  <si>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</si>
  <si>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</si>
  <si>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</si>
  <si>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</si>
  <si>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</si>
  <si>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</si>
  <si>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</si>
  <si>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</si>
  <si>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</si>
  <si>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</si>
  <si>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</si>
  <si>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</si>
  <si>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</si>
  <si>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</si>
  <si>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</si>
  <si>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</si>
  <si>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</si>
  <si>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</si>
  <si>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</si>
  <si>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</si>
  <si>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</si>
  <si>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</si>
  <si>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</si>
  <si>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</si>
  <si>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</si>
  <si>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</si>
  <si>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</si>
  <si>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</si>
  <si>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</si>
  <si>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</si>
  <si>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</si>
  <si>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</si>
  <si>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</si>
  <si>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</si>
  <si>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</si>
  <si>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</si>
  <si>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</si>
  <si>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</si>
  <si>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</si>
  <si>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</si>
  <si>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</si>
  <si>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</si>
  <si>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</si>
  <si>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</si>
  <si>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</si>
  <si>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</si>
  <si>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</si>
  <si>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</si>
  <si>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</si>
  <si>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</si>
  <si>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</si>
  <si>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</si>
  <si>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</si>
  <si>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</si>
  <si>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</si>
  <si>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</si>
  <si>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</si>
  <si>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</si>
  <si>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</si>
  <si>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</si>
  <si>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</si>
  <si>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</si>
  <si>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</si>
  <si>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</si>
  <si>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</si>
  <si>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</si>
  <si>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</si>
  <si>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</si>
  <si>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</si>
  <si>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</si>
  <si>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</si>
  <si>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</si>
  <si>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</si>
  <si>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</si>
  <si>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</si>
  <si>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</si>
  <si>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</si>
  <si>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</si>
  <si>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</si>
  <si>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</si>
  <si>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</si>
  <si>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</si>
  <si>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</si>
  <si>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</si>
  <si>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</si>
  <si>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</si>
  <si>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</si>
  <si>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</si>
  <si>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</si>
  <si>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</si>
  <si>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</si>
  <si>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</si>
  <si>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</si>
  <si>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</si>
  <si>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</si>
  <si>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</si>
  <si>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</si>
  <si>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</si>
  <si>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</si>
  <si>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</si>
  <si>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</si>
  <si>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</si>
  <si>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</si>
  <si>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</si>
  <si>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</si>
  <si>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</si>
  <si>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</si>
  <si>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</si>
  <si>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</si>
  <si>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</si>
  <si>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</si>
  <si>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</si>
  <si>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</si>
  <si>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</si>
  <si>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</si>
  <si>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</si>
  <si>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</si>
  <si>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</si>
  <si>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</si>
  <si>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</si>
  <si>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</si>
  <si>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</si>
  <si>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</si>
  <si>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</si>
  <si>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</si>
  <si>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</si>
  <si>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</si>
  <si>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</si>
  <si>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</si>
  <si>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</si>
  <si>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</si>
  <si>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</si>
  <si>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</si>
  <si>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</si>
  <si>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</si>
  <si>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</si>
  <si>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</si>
  <si>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</si>
  <si>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</si>
  <si>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</si>
  <si>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</si>
  <si>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</si>
  <si>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</si>
  <si>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</si>
  <si>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</si>
  <si>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</si>
  <si>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</si>
  <si>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</si>
  <si>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</si>
  <si>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</si>
  <si>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</si>
  <si>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</si>
  <si>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</si>
  <si>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</si>
  <si>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</si>
  <si>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</si>
  <si>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</si>
  <si>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</si>
  <si>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</si>
  <si>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</si>
  <si>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</si>
  <si>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</si>
  <si>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</si>
  <si>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</si>
  <si>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</si>
  <si>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</si>
  <si>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</si>
  <si>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</si>
  <si>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</si>
  <si>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</si>
  <si>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</si>
  <si>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</si>
  <si>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</si>
  <si>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</si>
  <si>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</si>
  <si>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</si>
  <si>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</si>
  <si>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</si>
  <si>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</si>
  <si>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</si>
  <si>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</si>
  <si>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</si>
  <si>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</si>
  <si>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</si>
  <si>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</si>
  <si>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</si>
  <si>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</si>
  <si>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</si>
  <si>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</si>
  <si>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</si>
  <si>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</si>
  <si>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</si>
  <si>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</si>
  <si>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</si>
  <si>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</si>
  <si>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</si>
  <si>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</si>
  <si>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</si>
  <si>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</si>
  <si>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</si>
  <si>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</si>
  <si>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</si>
  <si>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</si>
  <si>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</si>
  <si>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</si>
  <si>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</si>
  <si>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</si>
  <si>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</si>
  <si>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</si>
  <si>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</si>
  <si>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</si>
  <si>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</si>
  <si>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</si>
  <si>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</si>
  <si>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</si>
  <si>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</si>
  <si>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</si>
  <si>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</si>
  <si>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</si>
  <si>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</si>
  <si>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</si>
  <si>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</si>
  <si>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</si>
  <si>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</si>
  <si>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</si>
  <si>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</si>
  <si>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</si>
  <si>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</si>
  <si>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</si>
  <si>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</si>
  <si>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</si>
  <si>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</si>
  <si>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</si>
  <si>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</si>
  <si>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</si>
  <si>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</si>
  <si>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</si>
  <si>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</si>
  <si>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</si>
  <si>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</si>
  <si>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</si>
  <si>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</si>
  <si>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</si>
  <si>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</si>
  <si>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</si>
  <si>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</si>
  <si>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</si>
  <si>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</si>
  <si>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</si>
  <si>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</si>
  <si>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</si>
  <si>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</si>
  <si>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</si>
  <si>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</si>
  <si>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</si>
  <si>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</si>
  <si>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</si>
  <si>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</si>
  <si>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</si>
  <si>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</si>
  <si>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</si>
  <si>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</si>
  <si>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</si>
  <si>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</si>
  <si>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</si>
  <si>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</si>
  <si>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</si>
  <si>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</si>
  <si>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</si>
  <si>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</si>
  <si>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</si>
  <si>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</si>
  <si>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</si>
  <si>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</si>
  <si>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</si>
  <si>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</si>
  <si>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</si>
  <si>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</si>
  <si>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</si>
  <si>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</si>
  <si>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</si>
  <si>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</si>
  <si>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</si>
  <si>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</si>
  <si>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</si>
  <si>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</si>
  <si>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</si>
  <si>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</si>
  <si>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</si>
  <si>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</si>
  <si>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</si>
  <si>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</si>
  <si>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</si>
  <si>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</si>
  <si>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</si>
  <si>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</si>
  <si>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</si>
  <si>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</si>
  <si>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</si>
  <si>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</si>
  <si>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</si>
  <si>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</si>
  <si>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</si>
  <si>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</si>
  <si>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</si>
  <si>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</si>
  <si>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</si>
  <si>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</si>
  <si>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</si>
  <si>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</si>
  <si>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</si>
  <si>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</si>
  <si>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</si>
  <si>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</si>
  <si>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</si>
  <si>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</si>
  <si>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</si>
  <si>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</si>
  <si>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</si>
  <si>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</si>
  <si>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</si>
  <si>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</si>
  <si>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</si>
  <si>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</si>
  <si>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</si>
  <si>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</si>
  <si>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</si>
  <si>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</si>
  <si>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</si>
  <si>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</si>
  <si>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</si>
  <si>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</si>
  <si>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</si>
  <si>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</si>
  <si>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</si>
  <si>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</si>
  <si>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</si>
  <si>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</si>
  <si>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</si>
  <si>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</si>
  <si>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</si>
  <si>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</si>
  <si>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</si>
  <si>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</si>
  <si>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</si>
  <si>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</si>
  <si>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</si>
  <si>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</si>
  <si>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</si>
  <si>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</si>
  <si>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</si>
  <si>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</si>
  <si>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</si>
  <si>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</si>
  <si>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</si>
  <si>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</si>
  <si>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</si>
  <si>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</si>
  <si>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</si>
  <si>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</si>
  <si>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</si>
  <si>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</si>
  <si>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</si>
  <si>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</si>
  <si>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</si>
  <si>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</si>
  <si>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</si>
  <si>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</si>
  <si>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</si>
  <si>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</si>
  <si>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</si>
  <si>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</si>
  <si>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</si>
  <si>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</si>
  <si>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</si>
  <si>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</si>
  <si>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</si>
  <si>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</si>
  <si>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</si>
  <si>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</si>
  <si>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</si>
  <si>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</si>
  <si>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</si>
  <si>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</si>
  <si>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</si>
  <si>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</si>
  <si>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</si>
  <si>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</si>
  <si>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</si>
  <si>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</si>
  <si>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</si>
  <si>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</si>
  <si>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</si>
  <si>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</si>
  <si>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</si>
  <si>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</si>
  <si>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</si>
  <si>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</si>
  <si>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</si>
  <si>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</si>
  <si>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</si>
  <si>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</si>
  <si>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</si>
  <si>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</si>
  <si>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</si>
  <si>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</si>
  <si>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</si>
  <si>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</si>
  <si>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</si>
  <si>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</si>
  <si>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</si>
  <si>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</si>
  <si>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</si>
  <si>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</si>
  <si>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</si>
  <si>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</si>
  <si>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</si>
  <si>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</si>
  <si>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</si>
  <si>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</si>
  <si>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</si>
  <si>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</si>
  <si>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</si>
  <si>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</si>
  <si>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</si>
  <si>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</si>
  <si>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</si>
  <si>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</si>
  <si>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</si>
  <si>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</si>
  <si>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</si>
  <si>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</si>
  <si>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</si>
  <si>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</si>
  <si>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</si>
  <si>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</si>
  <si>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</si>
  <si>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</si>
  <si>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</si>
  <si>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</si>
  <si>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</si>
  <si>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</si>
  <si>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</si>
  <si>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</si>
  <si>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</si>
  <si>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</si>
  <si>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</si>
  <si>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</si>
  <si>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</si>
  <si>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</si>
  <si>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</si>
  <si>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</si>
  <si>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</si>
  <si>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</si>
  <si>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</si>
  <si>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</si>
  <si>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</si>
  <si>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</si>
  <si>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</si>
  <si>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</si>
  <si>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</si>
  <si>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</si>
  <si>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</si>
  <si>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</si>
  <si>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</si>
  <si>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</si>
  <si>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</si>
  <si>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</si>
  <si>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</si>
  <si>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</si>
  <si>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</si>
  <si>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</si>
  <si>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</si>
  <si>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</si>
  <si>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</si>
  <si>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</si>
  <si>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</si>
  <si>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</si>
  <si>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</si>
  <si>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</si>
  <si>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</si>
  <si>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</si>
  <si>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</si>
  <si>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</si>
  <si>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</si>
  <si>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</si>
  <si>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</si>
  <si>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</si>
  <si>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</si>
  <si>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</si>
  <si>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</si>
  <si>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</si>
  <si>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</si>
  <si>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</si>
  <si>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</si>
  <si>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</si>
  <si>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</si>
  <si>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</si>
  <si>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</si>
  <si>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</si>
  <si>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</si>
  <si>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</si>
  <si>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</si>
  <si>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</si>
  <si>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</si>
  <si>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</si>
  <si>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</si>
  <si>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</si>
  <si>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</si>
  <si>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</si>
  <si>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</si>
  <si>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</si>
  <si>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</si>
  <si>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</si>
  <si>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</si>
  <si>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</si>
  <si>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</si>
  <si>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</si>
  <si>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</si>
  <si>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</si>
  <si>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</si>
  <si>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</si>
  <si>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</si>
  <si>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</si>
  <si>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</si>
  <si>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</si>
  <si>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</si>
  <si>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</si>
  <si>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</si>
  <si>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</si>
  <si>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</si>
  <si>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</si>
  <si>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</si>
  <si>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</si>
  <si>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</si>
  <si>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</si>
  <si>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</si>
  <si>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</si>
  <si>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</si>
  <si>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</si>
  <si>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</si>
  <si>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</si>
  <si>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</si>
  <si>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</si>
  <si>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</si>
  <si>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</si>
  <si>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</si>
  <si>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</si>
  <si>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</si>
  <si>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</si>
  <si>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</si>
  <si>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</si>
  <si>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</si>
  <si>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</si>
  <si>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</si>
  <si>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</si>
  <si>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</si>
  <si>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</si>
  <si>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</si>
  <si>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</si>
  <si>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</si>
  <si>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</si>
  <si>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</si>
  <si>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</si>
  <si>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</si>
  <si>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</si>
  <si>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</si>
  <si>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</si>
  <si>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</si>
  <si>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</si>
  <si>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</si>
  <si>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</si>
  <si>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</si>
  <si>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</si>
  <si>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</si>
  <si>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</si>
  <si>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</si>
  <si>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</si>
  <si>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</si>
  <si>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</si>
  <si>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</si>
  <si>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</si>
  <si>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</si>
  <si>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</si>
  <si>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</si>
  <si>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</si>
  <si>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</si>
  <si>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</si>
  <si>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</si>
  <si>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</si>
  <si>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</si>
  <si>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</si>
  <si>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</si>
  <si>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</si>
  <si>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</si>
  <si>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</si>
  <si>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</si>
  <si>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</si>
  <si>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</si>
  <si>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</si>
  <si>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</si>
  <si>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</si>
  <si>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</si>
  <si>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</si>
  <si>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</si>
  <si>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</si>
  <si>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</si>
  <si>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</si>
  <si>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</si>
  <si>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</si>
  <si>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</si>
  <si>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</si>
  <si>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</si>
  <si>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</si>
  <si>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</si>
  <si>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</si>
  <si>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</si>
  <si>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</si>
  <si>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</si>
  <si>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</si>
  <si>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</si>
  <si>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</si>
  <si>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</si>
  <si>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</si>
  <si>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</si>
  <si>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</si>
  <si>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</si>
  <si>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</si>
  <si>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</si>
  <si>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</si>
  <si>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</si>
  <si>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</si>
  <si>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</si>
  <si>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</si>
  <si>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</si>
  <si>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</si>
  <si>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</si>
  <si>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</si>
  <si>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</si>
  <si>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</si>
  <si>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</si>
  <si>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</si>
  <si>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</si>
  <si>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</si>
  <si>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</si>
  <si>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</si>
  <si>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</si>
  <si>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</si>
  <si>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</si>
  <si>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</si>
  <si>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</si>
  <si>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</si>
  <si>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</si>
  <si>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</si>
  <si>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</si>
  <si>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</si>
  <si>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</si>
  <si>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</si>
  <si>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</si>
  <si>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</si>
  <si>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</si>
  <si>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</si>
  <si>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</si>
  <si>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</si>
  <si>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</si>
  <si>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</si>
  <si>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</si>
  <si>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</si>
  <si>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</si>
  <si>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</si>
  <si>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</si>
  <si>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</si>
  <si>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</si>
  <si>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</si>
  <si>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</si>
  <si>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</si>
  <si>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</si>
  <si>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</si>
  <si>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</si>
  <si>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</si>
  <si>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</si>
  <si>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</si>
  <si>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</si>
  <si>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</si>
  <si>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</si>
  <si>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</si>
  <si>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</si>
  <si>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</si>
  <si>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</si>
  <si>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</si>
  <si>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</si>
  <si>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</si>
  <si>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</si>
  <si>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</si>
  <si>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</si>
  <si>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</si>
  <si>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</si>
  <si>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</si>
  <si>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</si>
  <si>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</si>
  <si>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</si>
  <si>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</si>
  <si>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</si>
  <si>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</si>
  <si>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</si>
  <si>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</si>
  <si>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</si>
  <si>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</si>
  <si>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</si>
  <si>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</si>
  <si>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</si>
  <si>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</si>
  <si>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</si>
  <si>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</si>
  <si>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</si>
  <si>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</si>
  <si>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</si>
  <si>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</si>
  <si>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</si>
  <si>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</si>
  <si>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</si>
  <si>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</si>
  <si>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</si>
  <si>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</si>
  <si>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</si>
  <si>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</si>
  <si>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</si>
  <si>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</si>
  <si>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</si>
  <si>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</si>
  <si>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</si>
  <si>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</si>
  <si>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</si>
  <si>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</si>
  <si>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</si>
  <si>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</si>
  <si>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</si>
  <si>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</si>
  <si>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</si>
  <si>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</si>
  <si>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</si>
  <si>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</si>
  <si>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</si>
  <si>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</si>
  <si>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</si>
  <si>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</si>
  <si>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</si>
  <si>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</si>
  <si>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</si>
  <si>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</si>
  <si>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</si>
  <si>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</si>
  <si>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</si>
  <si>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</si>
  <si>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</si>
  <si>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</si>
  <si>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</si>
  <si>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</si>
  <si>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</si>
  <si>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</si>
  <si>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</si>
  <si>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</si>
  <si>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</si>
  <si>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</si>
  <si>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</si>
  <si>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</si>
  <si>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</si>
  <si>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</si>
  <si>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</si>
  <si>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</si>
  <si>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</si>
  <si>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</si>
  <si>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</si>
  <si>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</si>
  <si>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</si>
  <si>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</si>
  <si>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</si>
  <si>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</si>
  <si>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</si>
  <si>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</si>
  <si>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</si>
  <si>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</si>
  <si>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</si>
  <si>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</si>
  <si>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</si>
  <si>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</si>
  <si>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</si>
  <si>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</si>
  <si>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</si>
  <si>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</si>
  <si>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</si>
  <si>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</si>
  <si>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</si>
  <si>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</si>
  <si>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</si>
  <si>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</si>
  <si>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</si>
  <si>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</si>
  <si>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</si>
  <si>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</si>
  <si>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</si>
  <si>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</si>
  <si>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</si>
  <si>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</si>
  <si>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</si>
  <si>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</si>
  <si>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</si>
  <si>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</si>
  <si>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</si>
  <si>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</si>
  <si>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</si>
  <si>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</si>
  <si>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</si>
  <si>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</si>
  <si>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</si>
  <si>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</si>
  <si>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</si>
  <si>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</si>
  <si>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</si>
  <si>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</si>
  <si>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</si>
  <si>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</si>
  <si>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</si>
  <si>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</si>
  <si>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</si>
  <si>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</si>
  <si>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</si>
  <si>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</si>
  <si>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</si>
  <si>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</si>
  <si>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</si>
  <si>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</si>
  <si>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</si>
  <si>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</si>
  <si>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</si>
  <si>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</si>
  <si>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</si>
  <si>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</si>
  <si>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</si>
  <si>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</si>
  <si>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</si>
  <si>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</si>
  <si>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</si>
  <si>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</si>
  <si>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</si>
  <si>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</si>
  <si>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</si>
  <si>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</si>
  <si>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</si>
  <si>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</si>
  <si>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</si>
  <si>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</si>
  <si>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</si>
  <si>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</si>
  <si>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</si>
  <si>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</si>
  <si>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</si>
  <si>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</si>
  <si>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</si>
  <si>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</si>
  <si>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</si>
  <si>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</si>
  <si>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</si>
  <si>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</si>
  <si>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</si>
  <si>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</si>
  <si>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</si>
  <si>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</si>
  <si>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</si>
  <si>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</si>
  <si>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</si>
  <si>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</si>
  <si>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</si>
  <si>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</si>
  <si>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</si>
  <si>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</si>
  <si>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</si>
  <si>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</si>
  <si>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</si>
  <si>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</si>
  <si>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</si>
  <si>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</si>
  <si>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</si>
  <si>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</si>
  <si>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</si>
  <si>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</si>
  <si>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</si>
  <si>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</si>
  <si>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</si>
  <si>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</si>
  <si>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</si>
  <si>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</si>
  <si>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</si>
  <si>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</si>
  <si>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</si>
  <si>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</si>
  <si>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</si>
  <si>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</si>
  <si>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</si>
  <si>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</si>
  <si>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</si>
  <si>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</si>
  <si>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</si>
  <si>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</si>
  <si>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</si>
  <si>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</si>
  <si>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</si>
  <si>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</si>
  <si>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</si>
  <si>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</si>
  <si>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</si>
  <si>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</si>
  <si>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</si>
  <si>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</si>
  <si>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</si>
  <si>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</si>
  <si>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</si>
  <si>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</si>
  <si>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</si>
  <si>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</si>
  <si>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</si>
  <si>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</si>
  <si>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</si>
  <si>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</si>
  <si>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</si>
  <si>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</si>
  <si>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</si>
  <si>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</si>
  <si>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</si>
  <si>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</si>
  <si>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</si>
  <si>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</si>
  <si>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</si>
  <si>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</si>
  <si>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</si>
  <si>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</si>
  <si>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</si>
  <si>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</si>
  <si>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</si>
  <si>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</si>
  <si>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</si>
  <si>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</si>
  <si>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</si>
  <si>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</si>
  <si>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</si>
  <si>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</si>
  <si>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</si>
  <si>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</si>
  <si>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</si>
  <si>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</si>
  <si>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</si>
  <si>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</si>
  <si>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</si>
  <si>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</si>
  <si>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</si>
  <si>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</si>
  <si>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</si>
  <si>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</si>
  <si>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</si>
  <si>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</si>
  <si>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</si>
  <si>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</si>
  <si>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</si>
  <si>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</si>
  <si>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</si>
  <si>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</si>
  <si>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</si>
  <si>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</si>
  <si>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</si>
  <si>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</si>
  <si>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</si>
  <si>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</si>
  <si>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</si>
  <si>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</si>
  <si>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</si>
  <si>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</si>
  <si>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</si>
  <si>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</si>
  <si>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</si>
  <si>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</si>
  <si>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</si>
  <si>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</si>
  <si>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</si>
  <si>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</si>
  <si>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</si>
  <si>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</si>
  <si>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</si>
  <si>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</si>
  <si>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</si>
  <si>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</si>
  <si>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</si>
  <si>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</si>
  <si>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</si>
  <si>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</si>
  <si>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</si>
  <si>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</si>
  <si>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</si>
  <si>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</si>
  <si>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</si>
  <si>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</si>
  <si>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</si>
  <si>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</si>
  <si>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</si>
  <si>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</si>
  <si>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</si>
  <si>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</si>
  <si>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</si>
  <si>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</si>
  <si>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</si>
  <si>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</si>
  <si>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</si>
  <si>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</si>
  <si>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</si>
  <si>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</si>
  <si>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</si>
  <si>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</si>
  <si>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</si>
  <si>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</si>
  <si>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</si>
  <si>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</si>
  <si>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</si>
  <si>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</si>
  <si>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</si>
  <si>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</si>
  <si>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</si>
  <si>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</si>
  <si>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</si>
  <si>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</si>
  <si>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</si>
  <si>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</si>
  <si>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</si>
  <si>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</si>
  <si>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</si>
  <si>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</si>
  <si>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</si>
  <si>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</si>
  <si>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</si>
  <si>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</si>
  <si>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</si>
  <si>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</si>
  <si>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</si>
  <si>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</si>
  <si>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</si>
  <si>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</si>
  <si>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</si>
  <si>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</si>
  <si>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</si>
  <si>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</si>
  <si>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</si>
  <si>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</si>
  <si>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</si>
  <si>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</si>
  <si>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</si>
  <si>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</si>
  <si>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</si>
  <si>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</si>
  <si>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</si>
  <si>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</si>
  <si>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</si>
  <si>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</si>
  <si>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</si>
  <si>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</si>
  <si>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</si>
  <si>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</si>
  <si>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</si>
  <si>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</si>
  <si>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</si>
  <si>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</si>
  <si>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</si>
  <si>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</si>
  <si>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</si>
  <si>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</si>
  <si>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</si>
  <si>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</si>
  <si>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</si>
  <si>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</si>
  <si>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</si>
  <si>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</si>
  <si>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</si>
  <si>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</si>
  <si>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</si>
  <si>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</si>
  <si>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</si>
  <si>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</si>
  <si>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</si>
  <si>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</si>
  <si>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</si>
  <si>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</si>
  <si>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</si>
  <si>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</si>
  <si>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</si>
  <si>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</si>
  <si>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</si>
  <si>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</si>
  <si>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</si>
  <si>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</si>
  <si>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</si>
  <si>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</si>
  <si>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</si>
  <si>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</si>
  <si>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</si>
  <si>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</si>
  <si>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</si>
  <si>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</si>
  <si>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</si>
  <si>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</si>
  <si>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</si>
  <si>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</si>
  <si>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</si>
  <si>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</si>
  <si>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</si>
  <si>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</si>
  <si>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</si>
  <si>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</si>
  <si>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</si>
  <si>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</si>
  <si>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</si>
  <si>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</si>
  <si>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</si>
  <si>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</si>
  <si>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</si>
  <si>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</si>
  <si>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</si>
  <si>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</si>
  <si>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</si>
  <si>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</si>
  <si>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</si>
  <si>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</si>
  <si>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</si>
  <si>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</si>
  <si>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</si>
  <si>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</si>
  <si>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</si>
  <si>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</si>
  <si>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</si>
  <si>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</si>
  <si>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</si>
  <si>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</si>
  <si>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</si>
  <si>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</si>
  <si>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</si>
  <si>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</si>
  <si>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</si>
  <si>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</si>
  <si>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</si>
  <si>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</si>
  <si>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</si>
  <si>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</si>
  <si>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</si>
  <si>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</si>
  <si>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</si>
  <si>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</si>
  <si>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</si>
  <si>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</si>
  <si>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</si>
  <si>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</si>
  <si>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</si>
  <si>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</si>
  <si>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</si>
  <si>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</si>
  <si>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</si>
  <si>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</si>
  <si>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</si>
  <si>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</si>
  <si>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</si>
  <si>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</si>
  <si>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</si>
  <si>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</si>
  <si>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</si>
  <si>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</si>
  <si>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</si>
  <si>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</si>
  <si>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</si>
  <si>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</si>
  <si>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</si>
  <si>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</si>
  <si>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</si>
  <si>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</si>
  <si>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</si>
  <si>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</si>
  <si>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</si>
  <si>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</si>
  <si>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</si>
  <si>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</si>
  <si>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</si>
  <si>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</si>
  <si>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</si>
  <si>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</si>
  <si>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</si>
  <si>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</si>
  <si>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</si>
  <si>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</si>
  <si>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</si>
  <si>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</si>
  <si>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</si>
  <si>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</si>
  <si>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</si>
  <si>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</si>
  <si>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</si>
  <si>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</si>
  <si>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</si>
  <si>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</si>
  <si>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</si>
  <si>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</si>
  <si>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</si>
  <si>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</si>
  <si>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</si>
  <si>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</si>
  <si>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</si>
  <si>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</si>
  <si>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</si>
  <si>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</si>
  <si>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</si>
  <si>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</si>
  <si>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</si>
  <si>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</si>
  <si>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</si>
  <si>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</si>
  <si>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</si>
  <si>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</si>
  <si>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</si>
  <si>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</si>
  <si>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</si>
  <si>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</si>
  <si>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</si>
  <si>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</si>
  <si>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</si>
  <si>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</si>
  <si>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</si>
  <si>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</si>
  <si>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</si>
  <si>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</si>
  <si>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</si>
  <si>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</si>
  <si>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</si>
  <si>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</si>
  <si>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</si>
  <si>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</si>
  <si>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</si>
  <si>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</si>
  <si>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</si>
  <si>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</si>
  <si>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</si>
  <si>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</si>
  <si>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</si>
  <si>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</si>
  <si>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</si>
  <si>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</si>
  <si>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</si>
  <si>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</si>
  <si>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</si>
  <si>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</si>
  <si>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</si>
  <si>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</si>
  <si>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</si>
  <si>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</si>
  <si>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</si>
  <si>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</si>
  <si>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</si>
  <si>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</si>
  <si>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</si>
  <si>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</si>
  <si>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</si>
  <si>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</si>
  <si>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</si>
  <si>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</si>
  <si>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</si>
  <si>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</si>
  <si>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</si>
  <si>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</si>
  <si>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</si>
  <si>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</si>
  <si>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</si>
  <si>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</si>
  <si>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</si>
  <si>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</si>
  <si>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</si>
  <si>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</si>
  <si>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</si>
  <si>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</si>
  <si>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</si>
  <si>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</si>
  <si>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</si>
  <si>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</si>
  <si>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</si>
  <si>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</si>
  <si>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</si>
  <si>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</si>
  <si>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</si>
  <si>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</si>
  <si>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</si>
  <si>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</si>
  <si>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</si>
  <si>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</si>
  <si>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</si>
  <si>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</si>
  <si>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</si>
  <si>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</si>
  <si>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</si>
  <si>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</si>
  <si>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</si>
  <si>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</si>
  <si>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</si>
  <si>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</si>
  <si>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</si>
  <si>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</si>
  <si>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</si>
  <si>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</si>
  <si>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</si>
  <si>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</si>
  <si>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</si>
  <si>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</si>
  <si>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</si>
  <si>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</si>
  <si>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</si>
  <si>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</si>
  <si>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</si>
  <si>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</si>
  <si>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</si>
  <si>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</si>
  <si>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</si>
  <si>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</si>
  <si>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</si>
  <si>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</si>
  <si>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</si>
  <si>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</si>
  <si>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</si>
  <si>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</si>
  <si>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</si>
  <si>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</si>
  <si>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</si>
  <si>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</si>
  <si>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</si>
  <si>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</si>
  <si>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</si>
  <si>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</si>
  <si>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</si>
  <si>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</si>
  <si>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</si>
  <si>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</si>
  <si>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</si>
  <si>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</si>
  <si>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</si>
  <si>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</si>
  <si>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</si>
  <si>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</si>
  <si>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</si>
  <si>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</si>
  <si>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</si>
  <si>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</si>
  <si>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</si>
  <si>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</si>
  <si>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</si>
  <si>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</si>
  <si>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</si>
  <si>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</si>
  <si>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</si>
  <si>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</si>
  <si>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</si>
  <si>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</si>
  <si>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</si>
  <si>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</si>
  <si>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</si>
  <si>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</si>
  <si>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</si>
  <si>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</si>
  <si>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</si>
  <si>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</si>
  <si>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</si>
  <si>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</si>
  <si>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</si>
  <si>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</si>
  <si>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</si>
  <si>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</si>
  <si>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</si>
  <si>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</si>
  <si>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</si>
  <si>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</si>
  <si>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</si>
  <si>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</si>
  <si>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</si>
  <si>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</si>
  <si>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</si>
  <si>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</si>
  <si>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</si>
  <si>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</si>
  <si>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</si>
  <si>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</si>
  <si>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</si>
  <si>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</si>
  <si>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</si>
  <si>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</si>
  <si>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</si>
  <si>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</si>
  <si>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</si>
  <si>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</si>
  <si>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</si>
  <si>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</si>
  <si>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</si>
  <si>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</si>
  <si>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</si>
  <si>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</si>
  <si>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</si>
  <si>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</si>
  <si>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</si>
  <si>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</si>
  <si>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</si>
  <si>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</si>
  <si>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</si>
  <si>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</si>
  <si>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</si>
  <si>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</si>
  <si>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</si>
  <si>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</si>
  <si>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</si>
  <si>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</si>
  <si>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</si>
  <si>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</si>
  <si>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</si>
  <si>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</si>
  <si>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</si>
  <si>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</si>
  <si>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</si>
  <si>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</si>
  <si>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</si>
  <si>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</si>
  <si>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</si>
  <si>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</si>
  <si>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</si>
  <si>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</si>
  <si>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</si>
  <si>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</si>
  <si>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</si>
  <si>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</si>
  <si>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</si>
  <si>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</si>
  <si>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</si>
  <si>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</si>
  <si>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</si>
  <si>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</si>
  <si>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</si>
  <si>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</si>
  <si>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</si>
  <si>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</si>
  <si>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</si>
  <si>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</si>
  <si>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</si>
  <si>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</si>
  <si>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</si>
  <si>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</si>
  <si>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</si>
  <si>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</si>
  <si>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</si>
  <si>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</si>
  <si>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</si>
  <si>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</si>
  <si>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</si>
  <si>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</si>
  <si>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</si>
  <si>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</si>
  <si>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</si>
  <si>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</si>
  <si>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</si>
  <si>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</si>
  <si>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</si>
  <si>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</si>
  <si>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</si>
  <si>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</si>
  <si>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</si>
  <si>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</si>
  <si>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</si>
  <si>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</si>
  <si>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</si>
  <si>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</si>
  <si>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</si>
  <si>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</si>
  <si>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</si>
  <si>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</si>
  <si>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</si>
  <si>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</si>
  <si>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</si>
  <si>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</si>
  <si>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</si>
  <si>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</si>
  <si>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</si>
  <si>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</si>
  <si>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</si>
  <si>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</si>
  <si>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</si>
  <si>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</si>
  <si>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</si>
  <si>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</si>
  <si>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</si>
  <si>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</si>
  <si>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</si>
  <si>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</si>
  <si>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</si>
  <si>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</si>
  <si>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</si>
  <si>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</si>
  <si>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</si>
  <si>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</si>
  <si>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</si>
  <si>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</si>
  <si>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</si>
  <si>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</si>
  <si>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</si>
  <si>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</si>
  <si>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</si>
  <si>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</si>
  <si>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</si>
  <si>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</si>
  <si>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</si>
  <si>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</si>
  <si>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</si>
  <si>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</si>
  <si>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</si>
  <si>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</si>
  <si>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</si>
  <si>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</si>
  <si>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</si>
  <si>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</si>
  <si>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</si>
  <si>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</si>
  <si>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</si>
  <si>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</si>
  <si>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</si>
  <si>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</si>
  <si>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</si>
  <si>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</si>
  <si>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</si>
  <si>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</si>
  <si>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</si>
  <si>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</si>
  <si>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</si>
  <si>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</si>
  <si>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</si>
  <si>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</si>
  <si>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</si>
  <si>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</si>
  <si>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</si>
  <si>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</si>
  <si>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</si>
  <si>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</si>
  <si>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</si>
  <si>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</si>
  <si>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</si>
  <si>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</si>
  <si>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</si>
  <si>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</si>
  <si>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</si>
  <si>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</si>
  <si>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</si>
  <si>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</si>
  <si>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</si>
  <si>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</si>
  <si>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</si>
  <si>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</si>
  <si>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</si>
  <si>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</si>
  <si>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</si>
  <si>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</si>
  <si>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</si>
  <si>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</si>
  <si>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</si>
  <si>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</si>
  <si>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</si>
  <si>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</si>
  <si>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</si>
  <si>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</si>
  <si>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</si>
  <si>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</si>
  <si>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</si>
  <si>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</si>
  <si>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</si>
  <si>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</si>
  <si>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</si>
  <si>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</si>
  <si>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</si>
  <si>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</si>
  <si>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</si>
  <si>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</si>
  <si>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</si>
  <si>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</si>
  <si>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</si>
  <si>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</si>
  <si>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</si>
  <si>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</si>
  <si>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</si>
  <si>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</si>
  <si>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</si>
  <si>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</si>
  <si>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</si>
  <si>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</si>
  <si>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</si>
  <si>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</si>
  <si>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</si>
  <si>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</si>
  <si>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</si>
  <si>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</si>
  <si>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</si>
  <si>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</si>
  <si>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</si>
  <si>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</si>
  <si>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</si>
  <si>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</si>
  <si>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</si>
  <si>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</si>
  <si>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</si>
  <si>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</si>
  <si>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</si>
  <si>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</si>
  <si>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</si>
  <si>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</si>
  <si>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</si>
  <si>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</si>
  <si>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</si>
  <si>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</si>
  <si>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</si>
  <si>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</si>
  <si>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</si>
  <si>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</si>
  <si>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</si>
  <si>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</si>
  <si>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</si>
  <si>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</si>
  <si>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</si>
  <si>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</si>
  <si>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</si>
  <si>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</si>
  <si>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</si>
  <si>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</si>
  <si>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</si>
  <si>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</si>
  <si>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</si>
  <si>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</si>
  <si>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</si>
  <si>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</si>
  <si>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</si>
  <si>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</si>
  <si>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</si>
  <si>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</si>
  <si>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</si>
  <si>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</si>
  <si>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</si>
  <si>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</si>
  <si>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</si>
  <si>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</si>
  <si>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</si>
  <si>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</si>
  <si>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</si>
  <si>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</si>
  <si>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</si>
  <si>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</si>
  <si>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</si>
  <si>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</si>
  <si>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</si>
  <si>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</si>
  <si>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</si>
  <si>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</si>
  <si>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</si>
  <si>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</si>
  <si>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</si>
  <si>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</si>
  <si>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</si>
  <si>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</si>
  <si>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</si>
  <si>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</si>
  <si>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</si>
  <si>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</si>
  <si>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</si>
  <si>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</si>
  <si>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</si>
  <si>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</si>
  <si>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</si>
  <si>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</si>
  <si>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</si>
  <si>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</si>
  <si>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</si>
  <si>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</si>
  <si>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</si>
  <si>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</si>
  <si>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</si>
  <si>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</si>
  <si>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</si>
  <si>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</si>
  <si>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</si>
  <si>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</si>
  <si>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</si>
  <si>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</si>
  <si>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</si>
  <si>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</si>
  <si>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</si>
  <si>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</si>
  <si>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</si>
  <si>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</si>
  <si>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</si>
  <si>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</si>
  <si>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</si>
  <si>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</si>
  <si>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</si>
  <si>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</si>
  <si>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</si>
  <si>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</si>
  <si>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</si>
  <si>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</si>
  <si>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</si>
  <si>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</si>
  <si>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</si>
  <si>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</si>
  <si>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</si>
  <si>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</si>
  <si>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</si>
  <si>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</si>
  <si>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</si>
  <si>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</si>
  <si>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</si>
  <si>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</si>
  <si>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</si>
  <si>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</si>
  <si>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</si>
  <si>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</si>
  <si>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</si>
  <si>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</si>
  <si>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</si>
  <si>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</si>
  <si>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</si>
  <si>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</si>
  <si>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</si>
  <si>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</si>
  <si>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</si>
  <si>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</si>
  <si>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</si>
  <si>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</si>
  <si>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</si>
  <si>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</si>
  <si>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</si>
  <si>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</si>
  <si>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</si>
  <si>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</si>
  <si>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</si>
  <si>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</si>
  <si>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</si>
  <si>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</si>
  <si>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</si>
  <si>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</si>
  <si>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</si>
  <si>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</si>
  <si>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</si>
  <si>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</si>
  <si>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</si>
  <si>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</si>
  <si>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</si>
  <si>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</si>
  <si>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</si>
  <si>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</si>
  <si>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</si>
  <si>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</si>
  <si>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</si>
  <si>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</si>
  <si>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</si>
  <si>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</si>
  <si>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</si>
  <si>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</si>
  <si>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</si>
  <si>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</si>
  <si>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</si>
  <si>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</si>
  <si>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</si>
  <si>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</si>
  <si>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</si>
  <si>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</si>
  <si>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</si>
  <si>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</si>
  <si>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</si>
  <si>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</si>
  <si>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</si>
  <si>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</si>
  <si>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</si>
  <si>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</si>
  <si>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</si>
  <si>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</si>
  <si>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</si>
  <si>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</si>
  <si>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</si>
  <si>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</si>
  <si>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</si>
  <si>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</si>
  <si>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</si>
  <si>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</si>
  <si>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</si>
  <si>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</si>
  <si>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</si>
  <si>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</si>
  <si>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</si>
  <si>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</si>
  <si>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</si>
  <si>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</si>
  <si>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</si>
  <si>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</si>
  <si>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</si>
  <si>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</si>
  <si>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</si>
  <si>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</si>
  <si>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</si>
  <si>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</si>
  <si>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</si>
  <si>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</si>
  <si>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</si>
  <si>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</si>
  <si>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</si>
  <si>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</si>
  <si>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</si>
  <si>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</si>
  <si>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</si>
  <si>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</si>
  <si>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</si>
  <si>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</si>
  <si>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</si>
  <si>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</si>
  <si>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</si>
  <si>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</si>
  <si>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</si>
  <si>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</si>
  <si>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</si>
  <si>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</si>
  <si>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</si>
  <si>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</si>
  <si>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</si>
  <si>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</si>
  <si>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</si>
  <si>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</si>
  <si>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</si>
  <si>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</si>
  <si>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</si>
  <si>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</si>
  <si>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</si>
  <si>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</si>
  <si>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</si>
  <si>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</si>
  <si>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</si>
  <si>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</si>
  <si>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</si>
  <si>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</si>
  <si>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</si>
  <si>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</si>
  <si>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</si>
  <si>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</si>
  <si>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</si>
  <si>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</si>
  <si>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</si>
  <si>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</si>
  <si>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</si>
  <si>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</si>
  <si>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</si>
  <si>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</si>
  <si>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</si>
  <si>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</si>
  <si>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</si>
  <si>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</si>
  <si>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</si>
  <si>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</si>
  <si>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</si>
  <si>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</si>
  <si>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</si>
  <si>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</si>
  <si>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</si>
  <si>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</si>
  <si>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</si>
  <si>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</si>
  <si>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</si>
  <si>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</si>
  <si>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</si>
  <si>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</si>
  <si>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</si>
  <si>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</si>
  <si>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</si>
  <si>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</si>
  <si>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</si>
  <si>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</si>
  <si>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</si>
  <si>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</si>
  <si>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</si>
  <si>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</si>
  <si>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</si>
  <si>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</si>
  <si>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</si>
  <si>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</si>
  <si>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</si>
  <si>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</si>
  <si>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</si>
  <si>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</si>
  <si>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</si>
  <si>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</si>
  <si>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</si>
  <si>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</si>
  <si>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</si>
  <si>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</si>
  <si>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</si>
  <si>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</si>
  <si>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</si>
  <si>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</si>
  <si>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</si>
  <si>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</si>
  <si>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</si>
  <si>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</si>
  <si>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</si>
  <si>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</si>
  <si>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</si>
  <si>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</si>
  <si>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</si>
  <si>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</si>
  <si>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</si>
  <si>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</si>
  <si>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</si>
  <si>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</si>
  <si>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</si>
  <si>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</si>
  <si>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</si>
  <si>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</si>
  <si>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</si>
  <si>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</si>
  <si>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</si>
  <si>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</si>
  <si>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</si>
  <si>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</si>
  <si>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</si>
  <si>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</si>
  <si>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</si>
  <si>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</si>
  <si>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</si>
  <si>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</si>
  <si>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</si>
  <si>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</si>
  <si>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</si>
  <si>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</si>
  <si>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</si>
  <si>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</si>
  <si>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</si>
  <si>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</si>
  <si>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</si>
  <si>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</si>
  <si>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</si>
  <si>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</si>
  <si>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</si>
  <si>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</si>
  <si>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</si>
  <si>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</si>
  <si>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</si>
  <si>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</si>
  <si>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</si>
  <si>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</si>
  <si>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</si>
  <si>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</si>
  <si>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</si>
  <si>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</si>
  <si>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</si>
  <si>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</si>
  <si>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</si>
  <si>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</si>
  <si>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</si>
  <si>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</si>
  <si>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</si>
  <si>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</si>
  <si>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</si>
  <si>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</si>
  <si>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</si>
  <si>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</si>
  <si>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</si>
  <si>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</si>
  <si>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</si>
  <si>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</si>
  <si>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</si>
  <si>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</si>
  <si>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</si>
  <si>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</si>
  <si>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</si>
  <si>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</si>
  <si>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</si>
  <si>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</si>
  <si>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</si>
  <si>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</si>
  <si>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</si>
  <si>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</si>
  <si>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</si>
  <si>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</si>
  <si>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</si>
  <si>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</si>
  <si>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</si>
  <si>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</si>
  <si>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</si>
  <si>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</si>
  <si>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</si>
  <si>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</si>
  <si>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</si>
  <si>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</si>
  <si>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</si>
  <si>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</si>
  <si>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</si>
  <si>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</si>
  <si>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</si>
  <si>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</si>
  <si>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</si>
  <si>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</si>
  <si>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</si>
  <si>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</si>
  <si>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</si>
  <si>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</si>
  <si>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</si>
  <si>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</si>
  <si>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</si>
  <si>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</si>
  <si>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</si>
  <si>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</si>
  <si>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</si>
  <si>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</si>
  <si>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</si>
  <si>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</si>
  <si>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</si>
  <si>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</si>
  <si>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</si>
  <si>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</si>
  <si>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</si>
  <si>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</si>
  <si>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</si>
  <si>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</si>
  <si>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</si>
  <si>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</si>
  <si>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</si>
  <si>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</si>
  <si>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</si>
  <si>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</si>
  <si>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</si>
  <si>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</si>
  <si>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</si>
  <si>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</si>
  <si>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</si>
  <si>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</si>
  <si>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</si>
  <si>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</si>
  <si>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</si>
  <si>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</si>
  <si>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</si>
  <si>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</si>
  <si>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</si>
  <si>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</si>
  <si>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</si>
  <si>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</si>
  <si>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</si>
  <si>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</si>
  <si>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</si>
  <si>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</si>
  <si>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</si>
  <si>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</si>
  <si>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</si>
  <si>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</si>
  <si>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</si>
  <si>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</si>
  <si>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</si>
  <si>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</si>
  <si>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</si>
  <si>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</si>
  <si>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</si>
  <si>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</si>
  <si>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</si>
  <si>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</si>
  <si>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</si>
  <si>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</si>
  <si>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</si>
  <si>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</si>
  <si>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</si>
  <si>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</si>
  <si>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</si>
  <si>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</si>
  <si>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</si>
  <si>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</si>
  <si>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</si>
  <si>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</si>
  <si>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</si>
  <si>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</si>
  <si>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</si>
  <si>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</si>
  <si>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</si>
  <si>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</si>
  <si>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</si>
  <si>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</si>
  <si>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</si>
  <si>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</si>
  <si>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</si>
  <si>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</si>
  <si>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</si>
  <si>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</si>
  <si>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</si>
  <si>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</si>
  <si>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</si>
  <si>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</si>
  <si>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</si>
  <si>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</si>
  <si>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</si>
  <si>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</si>
  <si>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</si>
  <si>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</si>
  <si>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</si>
  <si>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</si>
  <si>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</si>
  <si>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</si>
  <si>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</si>
  <si>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</si>
  <si>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</si>
  <si>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</si>
  <si>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</si>
  <si>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</si>
  <si>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</si>
  <si>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</si>
  <si>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</si>
  <si>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</si>
  <si>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</si>
  <si>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</si>
  <si>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</si>
  <si>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</si>
  <si>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</si>
  <si>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</si>
  <si>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</si>
  <si>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</si>
  <si>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</si>
  <si>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</si>
  <si>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</si>
  <si>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</si>
  <si>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</si>
  <si>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</si>
  <si>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</si>
  <si>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</si>
  <si>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</si>
  <si>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</si>
  <si>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</si>
  <si>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</si>
  <si>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</si>
  <si>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</si>
  <si>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</si>
  <si>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</si>
  <si>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</si>
  <si>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</si>
  <si>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</si>
  <si>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</si>
  <si>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</si>
  <si>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</si>
  <si>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</si>
  <si>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</si>
  <si>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</si>
  <si>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</si>
  <si>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</si>
  <si>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</si>
  <si>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</si>
  <si>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</si>
  <si>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</si>
  <si>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</si>
  <si>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</si>
  <si>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</si>
  <si>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</si>
  <si>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</si>
  <si>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</si>
  <si>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</si>
  <si>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</si>
  <si>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</si>
  <si>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</si>
  <si>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</si>
  <si>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</si>
  <si>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</si>
  <si>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</si>
  <si>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</si>
  <si>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</si>
  <si>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</si>
  <si>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</si>
  <si>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</si>
  <si>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</si>
  <si>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</si>
  <si>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</si>
  <si>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</si>
  <si>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</si>
  <si>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</si>
  <si>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</si>
  <si>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</si>
  <si>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</si>
  <si>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</si>
  <si>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</si>
  <si>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</si>
  <si>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</si>
  <si>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</si>
  <si>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</si>
  <si>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</si>
  <si>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</si>
  <si>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</si>
  <si>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</si>
  <si>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</si>
  <si>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</si>
  <si>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</si>
  <si>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</si>
  <si>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</si>
  <si>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</si>
  <si>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</si>
  <si>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</si>
  <si>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</si>
  <si>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</si>
  <si>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</si>
  <si>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</si>
  <si>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</si>
  <si>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</si>
  <si>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</si>
  <si>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</si>
  <si>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</si>
  <si>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</si>
  <si>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</si>
  <si>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</si>
  <si>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</si>
  <si>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</si>
  <si>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</si>
  <si>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</si>
  <si>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</si>
  <si>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</si>
  <si>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</si>
  <si>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</si>
  <si>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</si>
  <si>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</si>
  <si>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</si>
  <si>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</si>
  <si>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</si>
  <si>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</si>
  <si>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</si>
  <si>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</si>
  <si>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</si>
  <si>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</si>
  <si>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</si>
  <si>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</si>
  <si>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</si>
  <si>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</si>
  <si>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</si>
  <si>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</si>
  <si>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</si>
  <si>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</si>
  <si>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</si>
  <si>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</si>
  <si>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</si>
  <si>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</si>
  <si>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</si>
  <si>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</si>
  <si>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</si>
  <si>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</si>
  <si>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</si>
  <si>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</si>
  <si>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</si>
  <si>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</si>
  <si>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</si>
  <si>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</si>
  <si>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</si>
  <si>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</si>
  <si>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</si>
  <si>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</si>
  <si>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</si>
  <si>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</si>
  <si>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</si>
  <si>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</si>
  <si>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</si>
  <si>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</si>
  <si>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</si>
  <si>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</si>
  <si>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</si>
  <si>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</si>
  <si>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</si>
  <si>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</si>
  <si>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</si>
  <si>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</si>
  <si>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</si>
  <si>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</si>
  <si>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</si>
  <si>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</si>
  <si>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</si>
  <si>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</si>
  <si>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</si>
  <si>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</si>
  <si>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</si>
  <si>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</si>
  <si>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</si>
  <si>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</si>
  <si>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</si>
  <si>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</si>
  <si>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</si>
  <si>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</si>
  <si>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</si>
  <si>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</si>
  <si>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</si>
  <si>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</si>
  <si>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</si>
  <si>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</si>
  <si>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</si>
  <si>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</si>
  <si>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</si>
  <si>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</si>
  <si>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</si>
  <si>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</si>
  <si>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</si>
  <si>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</si>
  <si>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</si>
  <si>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</si>
  <si>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</si>
  <si>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</si>
  <si>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</si>
  <si>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</si>
  <si>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</si>
  <si>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</si>
  <si>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</si>
  <si>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</si>
  <si>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</si>
  <si>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</si>
  <si>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</si>
  <si>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</si>
  <si>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</si>
  <si>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</si>
  <si>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</si>
  <si>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</si>
  <si>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</si>
  <si>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</si>
  <si>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</si>
  <si>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</si>
  <si>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</si>
  <si>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</si>
  <si>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</si>
  <si>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</si>
  <si>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</si>
  <si>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</si>
  <si>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</si>
  <si>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</si>
  <si>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</si>
  <si>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</si>
  <si>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</si>
  <si>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</si>
  <si>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</si>
  <si>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</si>
  <si>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</si>
  <si>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</si>
  <si>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</si>
  <si>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</si>
  <si>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</si>
  <si>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</si>
  <si>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</si>
  <si>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</si>
  <si>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</si>
  <si>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</si>
  <si>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</si>
  <si>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</si>
  <si>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</si>
  <si>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</si>
  <si>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</si>
  <si>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</si>
  <si>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</si>
  <si>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</si>
  <si>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</si>
  <si>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</si>
  <si>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</si>
  <si>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</si>
  <si>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</si>
  <si>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</si>
  <si>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</si>
  <si>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</si>
  <si>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</si>
  <si>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</si>
  <si>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</si>
  <si>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</si>
  <si>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</si>
  <si>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</si>
  <si>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</si>
  <si>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</si>
  <si>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</si>
  <si>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</si>
  <si>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</si>
  <si>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</si>
  <si>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</si>
  <si>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</si>
  <si>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</si>
  <si>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</si>
  <si>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</si>
  <si>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</si>
  <si>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</si>
  <si>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</si>
  <si>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</si>
  <si>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</si>
  <si>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</si>
  <si>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</si>
  <si>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</si>
  <si>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</si>
  <si>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</si>
  <si>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</si>
  <si>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</si>
  <si>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</si>
  <si>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</si>
  <si>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</si>
  <si>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</si>
  <si>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</si>
  <si>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</si>
  <si>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</si>
  <si>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</si>
  <si>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</si>
  <si>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</si>
  <si>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</si>
  <si>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</si>
  <si>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</si>
  <si>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</si>
  <si>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</si>
  <si>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</si>
  <si>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</si>
  <si>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</si>
  <si>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</si>
  <si>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</si>
  <si>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</si>
  <si>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</si>
  <si>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</si>
  <si>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</si>
  <si>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</si>
  <si>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</si>
  <si>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</si>
  <si>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</si>
  <si>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</si>
  <si>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</si>
  <si>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</si>
  <si>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</si>
  <si>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</si>
  <si>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</si>
  <si>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</si>
  <si>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</si>
  <si>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</si>
  <si>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</si>
  <si>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</si>
  <si>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</si>
  <si>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</si>
  <si>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</si>
  <si>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</si>
  <si>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</si>
  <si>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</si>
  <si>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</si>
  <si>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</si>
  <si>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</si>
  <si>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</si>
  <si>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</si>
  <si>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</si>
  <si>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</si>
  <si>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</si>
  <si>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</si>
  <si>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</si>
  <si>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</si>
  <si>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</si>
  <si>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</si>
  <si>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</si>
  <si>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</si>
  <si>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</si>
  <si>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</si>
  <si>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</si>
  <si>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</si>
  <si>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</si>
  <si>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</si>
  <si>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</si>
  <si>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</si>
  <si>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</si>
  <si>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</si>
  <si>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</si>
  <si>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</si>
  <si>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</si>
  <si>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</si>
  <si>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</si>
  <si>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</si>
  <si>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</si>
  <si>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</si>
  <si>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</si>
  <si>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</si>
  <si>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</si>
  <si>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</si>
  <si>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</si>
  <si>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</si>
  <si>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</si>
  <si>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</si>
  <si>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</si>
  <si>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</si>
  <si>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</si>
  <si>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</si>
  <si>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</si>
  <si>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</si>
  <si>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</si>
  <si>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</si>
  <si>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</si>
  <si>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</si>
  <si>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</si>
  <si>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</si>
  <si>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</si>
  <si>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</si>
  <si>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</si>
  <si>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</si>
  <si>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</si>
  <si>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</si>
  <si>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</si>
  <si>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</si>
  <si>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</si>
  <si>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</si>
  <si>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</si>
  <si>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</si>
  <si>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</si>
  <si>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</si>
  <si>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</si>
  <si>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</si>
  <si>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</si>
  <si>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</si>
  <si>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</si>
  <si>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</si>
  <si>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</si>
  <si>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</si>
  <si>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</si>
  <si>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</si>
  <si>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</si>
  <si>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</si>
  <si>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</si>
  <si>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</si>
  <si>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</si>
  <si>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</si>
  <si>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</si>
  <si>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</si>
  <si>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</si>
  <si>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</si>
  <si>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</si>
  <si>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</si>
  <si>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</si>
  <si>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</si>
  <si>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</si>
  <si>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</si>
  <si>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</si>
  <si>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</si>
  <si>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</si>
  <si>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</si>
  <si>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</si>
  <si>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</si>
  <si>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</si>
  <si>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</si>
  <si>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</si>
  <si>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</si>
  <si>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</si>
  <si>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</si>
  <si>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</si>
  <si>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</si>
  <si>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</si>
  <si>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</si>
  <si>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</si>
  <si>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</si>
  <si>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</si>
  <si>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</si>
  <si>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</si>
  <si>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</si>
  <si>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</si>
  <si>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</si>
  <si>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</si>
  <si>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</si>
  <si>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</si>
  <si>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</si>
  <si>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</si>
  <si>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</si>
  <si>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</si>
  <si>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</si>
  <si>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</si>
  <si>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</si>
  <si>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</si>
  <si>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</si>
  <si>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</si>
  <si>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</si>
  <si>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</si>
  <si>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</si>
  <si>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</si>
  <si>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</si>
  <si>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</si>
  <si>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</si>
  <si>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</si>
  <si>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</si>
  <si>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</si>
  <si>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</si>
  <si>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</si>
  <si>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</si>
  <si>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</si>
  <si>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</si>
  <si>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</si>
  <si>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</si>
  <si>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</si>
  <si>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</si>
  <si>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</si>
  <si>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</si>
  <si>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</si>
  <si>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</si>
  <si>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</si>
  <si>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</si>
  <si>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</si>
  <si>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</si>
  <si>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</si>
  <si>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</si>
  <si>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</si>
  <si>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</si>
  <si>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</si>
  <si>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</si>
  <si>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</si>
  <si>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</si>
  <si>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</si>
  <si>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</si>
  <si>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</si>
  <si>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</si>
  <si>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</si>
  <si>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</si>
  <si>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</si>
  <si>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</si>
  <si>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</si>
  <si>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</si>
  <si>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</si>
  <si>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</si>
  <si>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</si>
  <si>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</si>
  <si>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</si>
  <si>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</si>
  <si>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</si>
  <si>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</si>
  <si>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</si>
  <si>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</si>
  <si>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</si>
  <si>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</si>
  <si>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</si>
  <si>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</si>
  <si>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</si>
  <si>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</si>
  <si>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</si>
  <si>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</si>
  <si>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</si>
  <si>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</si>
  <si>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</si>
  <si>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</si>
  <si>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</si>
  <si>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</si>
  <si>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</si>
  <si>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</si>
  <si>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</si>
  <si>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</si>
  <si>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</si>
  <si>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</si>
  <si>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</si>
  <si>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</si>
  <si>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</si>
  <si>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</si>
  <si>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</si>
  <si>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</si>
  <si>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</si>
  <si>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</si>
  <si>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</si>
  <si>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</si>
  <si>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</si>
  <si>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</si>
  <si>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</si>
  <si>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</si>
  <si>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</si>
  <si>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</si>
  <si>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</si>
  <si>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</si>
  <si>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</si>
  <si>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</si>
  <si>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</si>
  <si>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</si>
  <si>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</si>
  <si>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</si>
  <si>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</si>
  <si>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</si>
  <si>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</si>
  <si>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</si>
  <si>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</si>
  <si>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</si>
  <si>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</si>
  <si>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</si>
  <si>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</si>
  <si>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</si>
  <si>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</si>
  <si>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</si>
  <si>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</si>
  <si>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</si>
  <si>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</si>
  <si>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</si>
  <si>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</si>
  <si>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</si>
  <si>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</si>
  <si>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</si>
  <si>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</si>
  <si>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</si>
  <si>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</si>
  <si>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</si>
  <si>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</si>
  <si>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</si>
  <si>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</si>
  <si>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</si>
  <si>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</si>
  <si>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</si>
  <si>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</si>
  <si>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</si>
  <si>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</si>
  <si>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</si>
  <si>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</si>
  <si>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</si>
  <si>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</si>
  <si>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</si>
  <si>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</si>
  <si>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</si>
  <si>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</si>
  <si>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</si>
  <si>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</si>
  <si>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</si>
  <si>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</si>
  <si>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</si>
  <si>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</si>
  <si>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</si>
  <si>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</si>
  <si>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</si>
  <si>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</si>
  <si>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</si>
  <si>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</si>
  <si>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</si>
  <si>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</si>
  <si>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</si>
  <si>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</si>
  <si>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</si>
  <si>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</si>
  <si>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</si>
  <si>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</si>
  <si>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</si>
  <si>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</si>
  <si>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</si>
  <si>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</si>
  <si>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</si>
  <si>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</si>
  <si>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</si>
  <si>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</si>
  <si>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</si>
  <si>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</si>
  <si>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</si>
  <si>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</si>
  <si>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</si>
  <si>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</si>
  <si>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</si>
  <si>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</si>
  <si>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</si>
  <si>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</si>
  <si>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</si>
  <si>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</si>
  <si>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</si>
  <si>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</si>
  <si>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</si>
  <si>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</si>
  <si>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</si>
  <si>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</si>
  <si>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</si>
  <si>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</si>
  <si>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</si>
  <si>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</si>
  <si>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</si>
  <si>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</si>
  <si>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</si>
  <si>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</si>
  <si>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</si>
  <si>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</si>
  <si>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</si>
  <si>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</si>
  <si>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</si>
  <si>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</si>
  <si>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</si>
  <si>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</si>
  <si>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</si>
  <si>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</si>
  <si>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</si>
  <si>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</si>
  <si>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</si>
  <si>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</si>
  <si>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</si>
  <si>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</si>
  <si>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</si>
  <si>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</si>
  <si>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</si>
  <si>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</si>
  <si>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</si>
  <si>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</si>
  <si>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</si>
  <si>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</si>
  <si>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</si>
  <si>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</si>
  <si>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</si>
  <si>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</si>
  <si>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</si>
  <si>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</si>
  <si>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</si>
  <si>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</si>
  <si>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</si>
  <si>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</si>
  <si>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</si>
  <si>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</si>
  <si>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</si>
  <si>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</si>
  <si>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</si>
  <si>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</si>
  <si>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</si>
  <si>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</si>
  <si>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</si>
  <si>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</si>
  <si>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</si>
  <si>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</si>
  <si>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</si>
  <si>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</si>
  <si>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</si>
  <si>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</si>
  <si>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</si>
  <si>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</si>
  <si>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</si>
  <si>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</si>
  <si>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</si>
  <si>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</si>
  <si>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</si>
  <si>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</si>
  <si>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</si>
  <si>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</si>
  <si>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</si>
  <si>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</si>
  <si>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</si>
  <si>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</si>
  <si>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</si>
  <si>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</si>
  <si>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</si>
  <si>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</si>
  <si>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</si>
  <si>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</si>
  <si>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</si>
  <si>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</si>
  <si>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</si>
  <si>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</si>
  <si>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</si>
  <si>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</si>
  <si>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</si>
  <si>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</si>
  <si>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</si>
  <si>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</si>
  <si>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</si>
  <si>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</si>
  <si>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</si>
  <si>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</si>
  <si>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</si>
  <si>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</si>
  <si>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</si>
  <si>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</si>
  <si>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</si>
  <si>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</si>
  <si>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</si>
  <si>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</si>
  <si>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</si>
  <si>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</si>
  <si>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</si>
  <si>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</si>
  <si>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</si>
  <si>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</si>
  <si>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</si>
  <si>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</si>
  <si>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</si>
  <si>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</si>
  <si>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</si>
  <si>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</si>
  <si>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</si>
  <si>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</si>
  <si>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</si>
  <si>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</si>
  <si>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</si>
  <si>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</si>
  <si>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</si>
  <si>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</si>
  <si>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</si>
  <si>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</si>
  <si>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</si>
  <si>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</si>
  <si>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</si>
  <si>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</si>
  <si>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</si>
  <si>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</si>
  <si>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</si>
  <si>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</si>
  <si>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</si>
  <si>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</si>
  <si>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</si>
  <si>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</si>
  <si>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</si>
  <si>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</si>
  <si>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</si>
  <si>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</si>
  <si>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</si>
  <si>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</si>
  <si>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</si>
  <si>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</si>
  <si>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</si>
  <si>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</si>
  <si>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</si>
  <si>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</si>
  <si>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</si>
  <si>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</si>
  <si>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</si>
  <si>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</si>
  <si>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</si>
  <si>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</si>
  <si>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</si>
  <si>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</si>
  <si>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</si>
  <si>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</si>
  <si>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</si>
  <si>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</si>
  <si>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</si>
  <si>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</si>
  <si>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</si>
  <si>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</si>
  <si>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</si>
  <si>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</si>
  <si>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</si>
  <si>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</si>
  <si>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</si>
  <si>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</si>
  <si>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</si>
  <si>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</si>
  <si>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</si>
  <si>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</si>
  <si>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</si>
  <si>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</si>
  <si>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</si>
  <si>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</si>
  <si>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</si>
  <si>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</si>
  <si>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</si>
  <si>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</si>
  <si>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</si>
  <si>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</si>
  <si>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</si>
  <si>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</si>
  <si>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</si>
  <si>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</si>
  <si>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</si>
  <si>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</si>
  <si>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</si>
  <si>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</si>
  <si>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</si>
  <si>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</si>
  <si>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</si>
  <si>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</si>
  <si>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</si>
  <si>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</si>
  <si>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</si>
  <si>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</si>
  <si>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</si>
  <si>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</si>
  <si>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</si>
  <si>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</si>
  <si>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</si>
  <si>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</si>
  <si>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</si>
  <si>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</si>
  <si>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</si>
  <si>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</si>
  <si>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</si>
  <si>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</si>
  <si>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</si>
  <si>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</si>
  <si>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</si>
  <si>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</si>
  <si>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</si>
  <si>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</si>
  <si>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</si>
  <si>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</si>
  <si>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</si>
  <si>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</si>
  <si>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</si>
  <si>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</si>
  <si>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</si>
  <si>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</si>
  <si>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</si>
  <si>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</si>
  <si>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</si>
  <si>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</si>
  <si>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</si>
  <si>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</si>
  <si>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</si>
  <si>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</si>
  <si>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</si>
  <si>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</si>
  <si>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</si>
  <si>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</si>
  <si>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</si>
  <si>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</si>
  <si>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</si>
  <si>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</si>
  <si>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</si>
  <si>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</si>
  <si>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</si>
  <si>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</si>
  <si>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</si>
  <si>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</si>
  <si>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</si>
  <si>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</si>
  <si>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</si>
  <si>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</si>
  <si>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</si>
  <si>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</si>
  <si>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</si>
  <si>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</si>
  <si>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</si>
  <si>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</si>
  <si>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</si>
  <si>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</si>
  <si>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</si>
  <si>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</si>
  <si>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</si>
  <si>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</si>
  <si>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</si>
  <si>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</si>
  <si>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</si>
  <si>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</si>
  <si>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</si>
  <si>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</si>
  <si>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</si>
  <si>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</si>
  <si>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</si>
  <si>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</si>
  <si>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</si>
  <si>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</si>
  <si>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</si>
  <si>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</si>
  <si>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</si>
  <si>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</si>
  <si>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</si>
  <si>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</si>
  <si>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</si>
  <si>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</si>
  <si>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</si>
  <si>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</si>
  <si>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</si>
  <si>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</si>
  <si>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</si>
  <si>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</si>
  <si>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</si>
  <si>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</si>
  <si>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</si>
  <si>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</si>
  <si>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</si>
  <si>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</si>
  <si>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</si>
  <si>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</si>
  <si>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</si>
  <si>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</si>
  <si>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</si>
  <si>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</si>
  <si>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</si>
  <si>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</si>
  <si>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</si>
  <si>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</si>
  <si>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</si>
  <si>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</si>
  <si>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</si>
  <si>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</si>
  <si>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</si>
  <si>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</si>
  <si>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</si>
  <si>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</si>
  <si>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</si>
  <si>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</si>
  <si>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</si>
  <si>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</si>
  <si>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</si>
  <si>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</si>
  <si>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</si>
  <si>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</si>
  <si>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</si>
  <si>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</si>
  <si>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</si>
  <si>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</si>
  <si>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</si>
  <si>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</si>
  <si>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</si>
  <si>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</si>
  <si>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</si>
  <si>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</si>
  <si>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</si>
  <si>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</si>
  <si>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</si>
  <si>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</si>
  <si>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</si>
  <si>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</si>
  <si>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</si>
  <si>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</si>
  <si>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</si>
  <si>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</si>
  <si>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</si>
  <si>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</si>
  <si>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</si>
  <si>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</si>
  <si>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</si>
  <si>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</si>
  <si>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</si>
  <si>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</si>
  <si>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</si>
  <si>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</si>
  <si>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</si>
  <si>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</si>
  <si>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</si>
  <si>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</si>
  <si>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</si>
  <si>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</si>
  <si>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</si>
  <si>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</si>
  <si>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</si>
  <si>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</si>
  <si>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</si>
  <si>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</si>
  <si>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</si>
  <si>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</si>
  <si>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</si>
  <si>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</si>
  <si>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</si>
  <si>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</si>
  <si>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</si>
  <si>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</si>
  <si>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</si>
  <si>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</si>
  <si>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</si>
  <si>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</si>
  <si>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</si>
  <si>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</si>
  <si>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</si>
  <si>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</si>
  <si>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</si>
  <si>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</si>
  <si>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</si>
  <si>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</si>
  <si>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</si>
  <si>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</si>
  <si>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</si>
  <si>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</si>
  <si>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</si>
  <si>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</si>
  <si>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</si>
  <si>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</si>
  <si>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</si>
  <si>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</si>
  <si>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</si>
  <si>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</si>
  <si>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</si>
  <si>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</si>
  <si>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</si>
  <si>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</si>
  <si>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</si>
  <si>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</si>
  <si>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</si>
  <si>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</si>
  <si>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</si>
  <si>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</si>
  <si>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</si>
  <si>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</si>
  <si>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</si>
  <si>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</si>
  <si>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</si>
  <si>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</si>
  <si>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</si>
  <si>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</si>
  <si>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</si>
  <si>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</si>
  <si>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</si>
  <si>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</si>
  <si>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</si>
  <si>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</si>
  <si>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</si>
  <si>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</si>
  <si>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</si>
  <si>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</si>
  <si>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</si>
  <si>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</si>
  <si>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</si>
  <si>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</si>
  <si>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</si>
  <si>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</si>
  <si>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</si>
  <si>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</si>
  <si>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</si>
  <si>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</si>
  <si>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</si>
  <si>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</si>
  <si>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</si>
  <si>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</si>
  <si>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</si>
  <si>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</si>
  <si>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</si>
  <si>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</si>
  <si>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</si>
  <si>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</si>
  <si>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</si>
  <si>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</si>
  <si>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</si>
  <si>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</si>
  <si>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</si>
  <si>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</si>
  <si>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</si>
  <si>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</si>
  <si>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</si>
  <si>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</si>
  <si>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</si>
  <si>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</si>
  <si>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</si>
  <si>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</si>
  <si>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</si>
  <si>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</si>
  <si>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</si>
  <si>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</si>
  <si>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</si>
  <si>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</si>
  <si>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</si>
  <si>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</si>
  <si>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</si>
  <si>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</si>
  <si>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</si>
  <si>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</si>
  <si>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</si>
  <si>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</si>
  <si>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</si>
  <si>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</si>
  <si>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</si>
  <si>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</si>
  <si>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</si>
  <si>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</si>
  <si>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</si>
  <si>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</si>
  <si>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</si>
  <si>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</si>
  <si>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</si>
  <si>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</si>
  <si>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</si>
  <si>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</si>
  <si>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</si>
  <si>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</si>
  <si>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</si>
  <si>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</si>
  <si>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</si>
  <si>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</si>
  <si>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</si>
  <si>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</si>
  <si>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</si>
  <si>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</si>
  <si>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</si>
  <si>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</si>
  <si>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</si>
  <si>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</si>
  <si>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</si>
  <si>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</si>
  <si>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</si>
  <si>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</si>
  <si>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</si>
  <si>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</si>
  <si>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</si>
  <si>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</si>
  <si>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</si>
  <si>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</si>
  <si>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</si>
  <si>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</si>
  <si>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</si>
  <si>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</si>
  <si>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</si>
  <si>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</si>
  <si>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</si>
  <si>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</si>
  <si>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</si>
  <si>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</si>
  <si>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</si>
  <si>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</si>
  <si>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</si>
  <si>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</si>
  <si>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</si>
  <si>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</si>
  <si>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</si>
  <si>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</si>
  <si>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</si>
  <si>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</si>
  <si>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</si>
  <si>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</si>
  <si>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</si>
  <si>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</si>
  <si>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</si>
  <si>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</si>
  <si>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</si>
  <si>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</si>
  <si>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</si>
  <si>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</si>
  <si>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</si>
  <si>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</si>
  <si>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</si>
  <si>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</si>
  <si>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</si>
  <si>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</si>
  <si>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</si>
  <si>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</si>
  <si>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</si>
  <si>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</si>
  <si>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</si>
  <si>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</si>
  <si>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</si>
  <si>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</si>
  <si>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</si>
  <si>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</si>
  <si>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</si>
  <si>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</si>
  <si>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</si>
  <si>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</si>
  <si>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</si>
  <si>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</si>
  <si>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</si>
  <si>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</si>
  <si>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</si>
  <si>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</si>
  <si>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</si>
  <si>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</si>
  <si>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</si>
  <si>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</si>
  <si>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</si>
  <si>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</si>
  <si>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</si>
  <si>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</si>
  <si>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</si>
  <si>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</si>
  <si>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</si>
  <si>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</si>
  <si>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</si>
  <si>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</si>
  <si>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</si>
  <si>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</si>
  <si>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</si>
  <si>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</si>
  <si>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</si>
  <si>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</si>
  <si>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</si>
  <si>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</si>
  <si>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</si>
  <si>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</si>
  <si>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</si>
  <si>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</si>
  <si>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</si>
  <si>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</si>
  <si>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</si>
  <si>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</si>
  <si>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</si>
  <si>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</si>
  <si>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</si>
  <si>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</si>
  <si>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</si>
  <si>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</si>
  <si>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</si>
  <si>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</si>
  <si>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</si>
  <si>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</si>
  <si>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</si>
  <si>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</si>
  <si>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</si>
  <si>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</si>
  <si>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</si>
  <si>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</si>
  <si>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</si>
  <si>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</si>
  <si>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</si>
  <si>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</si>
  <si>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</si>
  <si>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</si>
  <si>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</si>
  <si>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</si>
  <si>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</si>
  <si>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</si>
  <si>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</si>
  <si>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</si>
  <si>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</si>
  <si>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</si>
  <si>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</si>
  <si>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</si>
  <si>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</si>
  <si>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</si>
  <si>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</si>
  <si>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</si>
  <si>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</si>
  <si>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</si>
  <si>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</si>
  <si>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</si>
  <si>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</si>
  <si>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</si>
  <si>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</si>
  <si>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</si>
  <si>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</si>
  <si>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</si>
  <si>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</si>
  <si>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</si>
  <si>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</si>
  <si>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</si>
  <si>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</si>
  <si>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</si>
  <si>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</si>
  <si>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</si>
  <si>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</si>
  <si>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</si>
  <si>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</si>
  <si>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</si>
  <si>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</si>
  <si>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</si>
  <si>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</si>
  <si>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</si>
  <si>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</si>
  <si>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</si>
  <si>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</si>
  <si>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</si>
  <si>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</si>
  <si>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</si>
  <si>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</si>
  <si>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</si>
  <si>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</si>
  <si>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</si>
  <si>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</si>
  <si>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</si>
  <si>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</si>
  <si>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</si>
  <si>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</si>
  <si>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</si>
  <si>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</si>
  <si>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</si>
  <si>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</si>
  <si>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</si>
  <si>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</si>
  <si>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</si>
  <si>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</si>
  <si>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</si>
  <si>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</si>
  <si>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</si>
  <si>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</si>
  <si>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</si>
  <si>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</si>
  <si>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</si>
  <si>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</si>
  <si>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</si>
  <si>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</si>
  <si>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</si>
  <si>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</si>
  <si>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</si>
  <si>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</si>
  <si>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</si>
  <si>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</si>
  <si>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</si>
  <si>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</si>
  <si>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</si>
  <si>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</si>
  <si>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</si>
  <si>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</si>
  <si>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</si>
  <si>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</si>
  <si>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</si>
  <si>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</si>
  <si>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</si>
  <si>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</si>
  <si>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</si>
  <si>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</si>
  <si>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</si>
  <si>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</si>
  <si>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</si>
  <si>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</si>
  <si>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</si>
  <si>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</si>
  <si>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</si>
  <si>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</si>
  <si>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</si>
  <si>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</si>
  <si>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</si>
  <si>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</si>
  <si>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</si>
  <si>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</si>
  <si>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</si>
  <si>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</si>
  <si>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</si>
  <si>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</si>
  <si>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</si>
  <si>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</si>
  <si>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</si>
  <si>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</si>
  <si>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</si>
  <si>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</si>
  <si>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</si>
  <si>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</si>
  <si>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</si>
  <si>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</si>
  <si>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</si>
  <si>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</si>
  <si>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</si>
  <si>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</si>
  <si>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</si>
  <si>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</si>
  <si>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</si>
  <si>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</si>
  <si>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</si>
  <si>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</si>
  <si>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</si>
  <si>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</si>
  <si>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</si>
  <si>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</si>
  <si>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</si>
  <si>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</si>
  <si>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</si>
  <si>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</si>
  <si>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</si>
  <si>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</si>
  <si>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</si>
  <si>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</si>
  <si>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</si>
  <si>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</si>
  <si>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</si>
  <si>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</si>
  <si>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</si>
  <si>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</si>
  <si>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</si>
  <si>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</si>
  <si>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</si>
  <si>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</si>
  <si>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</si>
  <si>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</si>
  <si>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</si>
  <si>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</si>
  <si>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</si>
  <si>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</si>
  <si>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</si>
  <si>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</si>
  <si>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</si>
  <si>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</si>
  <si>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</si>
  <si>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</si>
  <si>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</si>
  <si>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</si>
  <si>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</si>
  <si>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</si>
  <si>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</si>
  <si>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</si>
  <si>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</si>
  <si>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</si>
  <si>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</si>
  <si>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</si>
  <si>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</si>
  <si>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</si>
  <si>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</si>
  <si>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</si>
  <si>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</si>
  <si>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</si>
  <si>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</si>
  <si>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</si>
  <si>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</si>
  <si>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</si>
  <si>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</si>
  <si>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</si>
  <si>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</si>
  <si>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</si>
  <si>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</si>
  <si>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</si>
  <si>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</si>
  <si>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</si>
  <si>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</si>
  <si>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</si>
  <si>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</si>
  <si>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</si>
  <si>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</si>
  <si>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</si>
  <si>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</si>
  <si>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</si>
  <si>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</si>
  <si>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</si>
  <si>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</si>
  <si>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</si>
  <si>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</si>
  <si>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</si>
  <si>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</si>
  <si>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</si>
  <si>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</si>
  <si>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</si>
  <si>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</si>
  <si>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</si>
  <si>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</si>
  <si>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</si>
  <si>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</si>
  <si>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</si>
  <si>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</si>
  <si>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</si>
  <si>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</si>
  <si>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</si>
  <si>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</si>
  <si>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</si>
  <si>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</si>
  <si>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</si>
  <si>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</si>
  <si>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</si>
  <si>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</si>
  <si>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</si>
  <si>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</si>
  <si>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</si>
  <si>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</si>
  <si>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</si>
  <si>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</si>
  <si>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</si>
  <si>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</si>
  <si>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</si>
  <si>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</si>
  <si>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</si>
  <si>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</si>
  <si>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</si>
  <si>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</si>
  <si>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</si>
  <si>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</si>
  <si>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</si>
  <si>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</si>
  <si>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</si>
  <si>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</si>
  <si>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</si>
  <si>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</si>
  <si>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</si>
  <si>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</si>
  <si>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</si>
  <si>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</si>
  <si>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</si>
  <si>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</si>
  <si>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</si>
  <si>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</si>
  <si>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</si>
  <si>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</si>
  <si>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</si>
  <si>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</si>
  <si>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</si>
  <si>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</si>
  <si>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</si>
  <si>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</si>
  <si>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</si>
  <si>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</si>
  <si>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</si>
  <si>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</si>
  <si>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</si>
  <si>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</si>
  <si>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</si>
  <si>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</si>
  <si>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</si>
  <si>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</si>
  <si>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</si>
  <si>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</si>
  <si>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</si>
  <si>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</si>
  <si>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</si>
  <si>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</si>
  <si>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</si>
  <si>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</si>
  <si>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</si>
  <si>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</si>
  <si>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</si>
  <si>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</si>
  <si>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</si>
  <si>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</si>
  <si>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</si>
  <si>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</si>
  <si>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</si>
  <si>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</si>
  <si>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</si>
  <si>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</si>
  <si>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</si>
  <si>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</si>
  <si>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</si>
  <si>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</si>
  <si>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</si>
  <si>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</si>
  <si>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</si>
  <si>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</si>
  <si>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</si>
  <si>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</si>
  <si>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</si>
  <si>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</si>
  <si>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</si>
  <si>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</si>
  <si>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</si>
  <si>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</si>
  <si>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</si>
  <si>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</si>
  <si>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</si>
  <si>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</si>
  <si>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</si>
  <si>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</si>
  <si>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</si>
  <si>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</si>
  <si>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</si>
  <si>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</si>
  <si>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</si>
  <si>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</si>
  <si>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</si>
  <si>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</si>
  <si>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</si>
  <si>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</si>
  <si>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</si>
  <si>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</si>
  <si>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</si>
  <si>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</si>
  <si>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</si>
  <si>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</si>
  <si>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</si>
  <si>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</si>
  <si>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</si>
  <si>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</si>
  <si>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</si>
  <si>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</si>
  <si>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</si>
  <si>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</si>
  <si>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</si>
  <si>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</si>
  <si>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</si>
  <si>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</si>
  <si>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</si>
  <si>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</si>
  <si>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</si>
  <si>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</si>
  <si>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</si>
  <si>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</si>
  <si>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</si>
  <si>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</si>
  <si>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</si>
  <si>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</si>
  <si>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</si>
  <si>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</si>
  <si>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</si>
  <si>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</si>
  <si>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</si>
  <si>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</si>
  <si>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</si>
  <si>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</si>
  <si>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</si>
  <si>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</si>
  <si>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</si>
  <si>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</si>
  <si>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</si>
  <si>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</si>
  <si>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</si>
  <si>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</si>
  <si>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</si>
  <si>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</si>
  <si>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</si>
  <si>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</si>
  <si>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</si>
  <si>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</si>
  <si>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</si>
  <si>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</si>
  <si>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</si>
  <si>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</si>
  <si>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</si>
  <si>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</si>
  <si>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</si>
  <si>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</si>
  <si>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</si>
  <si>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</si>
  <si>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</si>
  <si>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</si>
  <si>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</si>
  <si>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</si>
  <si>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</si>
  <si>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</si>
  <si>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</si>
  <si>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</si>
  <si>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</si>
  <si>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</si>
  <si>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</si>
  <si>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</si>
  <si>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</si>
  <si>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</si>
  <si>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</si>
  <si>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</si>
  <si>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</si>
  <si>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</si>
  <si>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</si>
  <si>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</si>
  <si>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</si>
  <si>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</si>
  <si>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</si>
  <si>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</si>
  <si>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</si>
  <si>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</si>
  <si>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</si>
  <si>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</si>
  <si>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</si>
  <si>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</si>
  <si>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</si>
  <si>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</si>
  <si>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</si>
  <si>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</si>
  <si>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</si>
  <si>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</si>
  <si>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</si>
  <si>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</si>
  <si>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</si>
  <si>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</si>
  <si>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</si>
  <si>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</si>
  <si>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</si>
  <si>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</si>
  <si>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</si>
  <si>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</si>
  <si>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</si>
  <si>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</si>
  <si>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</si>
  <si>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</si>
  <si>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</si>
  <si>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</si>
  <si>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</si>
  <si>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</si>
  <si>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</si>
  <si>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</si>
  <si>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</si>
  <si>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</si>
  <si>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</si>
  <si>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</si>
  <si>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</si>
  <si>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</si>
  <si>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</si>
  <si>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</si>
  <si>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</si>
  <si>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</si>
  <si>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</si>
  <si>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</si>
  <si>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</si>
  <si>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</si>
  <si>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</si>
  <si>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</si>
  <si>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</si>
  <si>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</si>
  <si>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</si>
  <si>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</si>
  <si>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</si>
  <si>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</si>
  <si>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</si>
  <si>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</si>
  <si>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</si>
  <si>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</si>
  <si>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</si>
  <si>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</si>
  <si>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</si>
  <si>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</si>
  <si>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</si>
  <si>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</si>
  <si>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</si>
  <si>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</si>
  <si>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</si>
  <si>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</si>
  <si>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</si>
  <si>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</si>
  <si>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</si>
  <si>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</si>
  <si>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</si>
  <si>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</si>
  <si>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</si>
  <si>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</si>
  <si>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</si>
  <si>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</si>
  <si>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</si>
  <si>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</si>
  <si>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</si>
  <si>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</si>
  <si>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</si>
  <si>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</si>
  <si>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</si>
  <si>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</si>
  <si>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</si>
  <si>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</si>
  <si>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</si>
  <si>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</si>
  <si>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</si>
  <si>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</si>
  <si>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</si>
  <si>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</si>
  <si>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</si>
  <si>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</si>
  <si>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</si>
  <si>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</si>
  <si>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</si>
  <si>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</si>
  <si>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</si>
  <si>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</si>
  <si>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</si>
  <si>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</si>
  <si>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</si>
  <si>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</si>
  <si>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</si>
  <si>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</si>
  <si>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</si>
  <si>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</si>
  <si>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</si>
  <si>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</si>
  <si>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</si>
  <si>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</si>
  <si>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</si>
  <si>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</si>
  <si>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</si>
  <si>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</si>
  <si>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</si>
  <si>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</si>
  <si>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</si>
  <si>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</si>
  <si>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</si>
  <si>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</si>
  <si>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</si>
  <si>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</si>
  <si>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</si>
  <si>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</si>
  <si>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</si>
  <si>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</si>
  <si>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</si>
  <si>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</si>
  <si>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</si>
  <si>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</si>
  <si>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</si>
  <si>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</si>
  <si>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</si>
  <si>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</si>
  <si>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</si>
  <si>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</si>
  <si>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</si>
  <si>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</si>
  <si>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</si>
  <si>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</si>
  <si>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</si>
  <si>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</si>
  <si>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</si>
  <si>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</si>
  <si>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</si>
  <si>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</si>
  <si>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</si>
  <si>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</si>
  <si>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</si>
  <si>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</si>
  <si>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</si>
  <si>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</si>
  <si>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</si>
  <si>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</si>
  <si>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</si>
  <si>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</si>
  <si>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</si>
  <si>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</si>
  <si>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</si>
  <si>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</si>
  <si>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</si>
  <si>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</si>
  <si>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</si>
  <si>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</si>
  <si>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</si>
  <si>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</si>
  <si>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</si>
  <si>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</si>
  <si>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</si>
  <si>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</si>
  <si>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</si>
  <si>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</si>
  <si>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</si>
  <si>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</si>
  <si>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</si>
  <si>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</si>
  <si>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</si>
  <si>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</si>
  <si>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</si>
  <si>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</si>
  <si>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</si>
  <si>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</si>
  <si>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</si>
  <si>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</si>
  <si>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</si>
  <si>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</si>
  <si>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</si>
  <si>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</si>
  <si>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</si>
  <si>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</si>
  <si>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</si>
  <si>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</si>
  <si>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</si>
  <si>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</si>
  <si>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</si>
  <si>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</si>
  <si>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</si>
  <si>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</si>
  <si>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</si>
  <si>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</si>
  <si>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</si>
  <si>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</si>
  <si>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</si>
  <si>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</si>
  <si>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</si>
  <si>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</si>
  <si>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</si>
  <si>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</si>
  <si>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</si>
  <si>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</si>
  <si>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</si>
  <si>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</si>
  <si>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</si>
  <si>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</si>
  <si>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</si>
  <si>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</si>
  <si>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</si>
  <si>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</si>
  <si>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</si>
  <si>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</si>
  <si>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</si>
  <si>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</si>
  <si>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</si>
  <si>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</si>
  <si>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</si>
  <si>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</si>
  <si>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</si>
  <si>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</si>
  <si>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</si>
  <si>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</si>
  <si>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</si>
  <si>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</si>
  <si>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</si>
  <si>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</si>
  <si>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</si>
  <si>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</si>
  <si>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</si>
  <si>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</si>
  <si>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</si>
  <si>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</si>
  <si>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</si>
  <si>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</si>
  <si>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</si>
  <si>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</si>
  <si>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</si>
  <si>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</si>
  <si>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</si>
  <si>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</si>
  <si>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</si>
  <si>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</si>
  <si>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</si>
  <si>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</si>
  <si>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</si>
  <si>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</si>
  <si>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</si>
  <si>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</si>
  <si>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</si>
  <si>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</si>
  <si>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</si>
  <si>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</si>
  <si>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</si>
  <si>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</si>
  <si>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</si>
  <si>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</si>
  <si>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</si>
  <si>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</si>
  <si>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</si>
  <si>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</si>
  <si>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</si>
  <si>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</si>
  <si>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</si>
  <si>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</si>
  <si>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</si>
  <si>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</si>
  <si>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</si>
  <si>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</si>
  <si>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</si>
  <si>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</si>
  <si>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</si>
  <si>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</si>
  <si>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</si>
  <si>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</si>
  <si>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</si>
  <si>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</si>
  <si>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</si>
  <si>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</si>
  <si>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</si>
  <si>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</si>
  <si>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</si>
  <si>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</si>
  <si>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</si>
  <si>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</si>
  <si>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</si>
  <si>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</si>
  <si>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</si>
  <si>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</si>
  <si>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</si>
  <si>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</si>
  <si>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</si>
  <si>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</si>
  <si>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</si>
  <si>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</si>
  <si>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</si>
  <si>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</si>
  <si>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</si>
  <si>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</si>
  <si>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</si>
  <si>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</si>
  <si>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</si>
  <si>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</si>
  <si>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</si>
  <si>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</si>
  <si>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</si>
  <si>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</si>
  <si>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</si>
  <si>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</si>
  <si>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</si>
  <si>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</si>
  <si>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</si>
  <si>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</si>
  <si>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</si>
  <si>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</si>
  <si>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</si>
  <si>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</si>
  <si>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</si>
  <si>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</si>
  <si>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</si>
  <si>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</si>
  <si>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</si>
  <si>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</si>
  <si>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</si>
  <si>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</si>
  <si>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</si>
  <si>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</si>
  <si>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</si>
  <si>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</si>
  <si>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</si>
  <si>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</si>
  <si>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</si>
  <si>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</si>
  <si>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</si>
  <si>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</si>
  <si>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</si>
  <si>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</si>
  <si>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</si>
  <si>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</si>
  <si>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</si>
  <si>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</si>
  <si>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</si>
  <si>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</si>
  <si>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</si>
  <si>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</si>
  <si>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</si>
  <si>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</si>
  <si>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</si>
  <si>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</si>
  <si>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</si>
  <si>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</si>
  <si>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</si>
  <si>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</si>
  <si>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</si>
  <si>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</si>
  <si>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</si>
  <si>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</si>
  <si>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</si>
  <si>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</si>
  <si>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</si>
  <si>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</si>
  <si>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</si>
  <si>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</si>
  <si>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</si>
  <si>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</si>
  <si>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</si>
  <si>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</si>
  <si>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</si>
  <si>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</si>
  <si>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</si>
  <si>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</si>
  <si>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</si>
  <si>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</si>
  <si>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</si>
  <si>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</si>
  <si>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</si>
  <si>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</si>
  <si>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</si>
  <si>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</si>
  <si>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</si>
  <si>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</si>
  <si>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</si>
  <si>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</si>
  <si>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</si>
  <si>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</si>
  <si>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</si>
  <si>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</si>
  <si>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</si>
  <si>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</si>
  <si>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</si>
  <si>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</si>
  <si>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</si>
  <si>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</si>
  <si>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</si>
  <si>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</si>
  <si>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</si>
  <si>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</si>
  <si>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</si>
  <si>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</si>
  <si>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</si>
  <si>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</si>
  <si>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</si>
  <si>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</si>
  <si>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</si>
  <si>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</si>
  <si>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</si>
  <si>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</si>
  <si>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</si>
  <si>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</si>
  <si>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</si>
  <si>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</si>
  <si>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</si>
  <si>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</si>
  <si>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</si>
  <si>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</si>
  <si>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</si>
  <si>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</si>
  <si>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</si>
  <si>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</si>
  <si>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</si>
  <si>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</si>
  <si>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</si>
  <si>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</si>
  <si>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</si>
  <si>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</si>
  <si>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</si>
  <si>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</si>
  <si>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</si>
  <si>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</si>
  <si>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</si>
  <si>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</si>
  <si>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</si>
  <si>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</si>
  <si>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</si>
  <si>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</si>
  <si>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</si>
  <si>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</si>
  <si>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</si>
  <si>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</si>
  <si>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</si>
  <si>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</si>
  <si>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</si>
  <si>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</si>
  <si>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</si>
  <si>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</si>
  <si>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</si>
  <si>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</si>
  <si>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</si>
  <si>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</si>
  <si>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</si>
  <si>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</si>
  <si>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</si>
  <si>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</si>
  <si>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</si>
  <si>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</si>
  <si>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</si>
  <si>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</si>
  <si>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</si>
  <si>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</si>
  <si>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</si>
  <si>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</si>
  <si>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</si>
  <si>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</si>
  <si>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</si>
  <si>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</si>
  <si>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</si>
  <si>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</si>
  <si>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</si>
  <si>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</si>
  <si>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</si>
  <si>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</si>
  <si>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</si>
  <si>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</si>
  <si>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</si>
  <si>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</si>
  <si>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</si>
  <si>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</si>
  <si>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</si>
  <si>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</si>
  <si>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</si>
  <si>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</si>
  <si>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</si>
  <si>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</si>
  <si>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</si>
  <si>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</si>
  <si>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</si>
  <si>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</si>
  <si>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</si>
  <si>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</si>
  <si>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</si>
  <si>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</si>
  <si>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</si>
  <si>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</si>
  <si>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</si>
  <si>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</si>
  <si>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</si>
  <si>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</si>
  <si>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</si>
  <si>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</si>
  <si>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</si>
  <si>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</si>
  <si>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</si>
  <si>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</si>
  <si>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</si>
  <si>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</si>
  <si>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</si>
  <si>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</si>
  <si>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</si>
  <si>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</si>
  <si>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</si>
  <si>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</si>
  <si>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</si>
  <si>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</si>
  <si>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</si>
  <si>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</si>
  <si>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</si>
  <si>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</si>
  <si>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</si>
  <si>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</si>
  <si>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</si>
  <si>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</si>
  <si>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</si>
  <si>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</si>
  <si>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</si>
  <si>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</si>
  <si>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</si>
  <si>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</si>
  <si>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</si>
  <si>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</si>
  <si>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</si>
  <si>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</si>
  <si>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</si>
  <si>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</si>
  <si>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</si>
  <si>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</si>
  <si>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</si>
  <si>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</si>
  <si>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</si>
  <si>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</si>
  <si>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</si>
  <si>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</si>
  <si>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</si>
  <si>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</si>
  <si>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</si>
  <si>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</si>
  <si>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</si>
  <si>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</si>
  <si>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</si>
  <si>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</si>
  <si>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</si>
  <si>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</si>
  <si>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</si>
  <si>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</si>
  <si>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</si>
  <si>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</si>
  <si>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</si>
  <si>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</si>
  <si>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</si>
  <si>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</si>
  <si>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</si>
  <si>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</si>
  <si>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</si>
  <si>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</si>
  <si>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</si>
  <si>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</si>
  <si>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</si>
  <si>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</si>
  <si>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</si>
  <si>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</si>
  <si>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</si>
  <si>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</si>
  <si>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</si>
  <si>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</si>
  <si>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</si>
  <si>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</si>
  <si>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</si>
  <si>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</si>
  <si>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</si>
  <si>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</si>
  <si>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</si>
  <si>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</si>
  <si>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</si>
  <si>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</si>
  <si>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</si>
  <si>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</si>
  <si>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</si>
  <si>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</si>
  <si>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</si>
  <si>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</si>
  <si>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</si>
  <si>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</si>
  <si>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</si>
  <si>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</si>
  <si>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</si>
  <si>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</si>
  <si>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</si>
  <si>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</si>
  <si>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</si>
  <si>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</si>
  <si>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</si>
  <si>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</si>
  <si>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</si>
  <si>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</si>
  <si>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</si>
  <si>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</si>
  <si>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</si>
  <si>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</si>
  <si>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</si>
  <si>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</si>
  <si>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</si>
  <si>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</si>
  <si>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</si>
  <si>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</si>
  <si>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</si>
  <si>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</si>
  <si>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</si>
  <si>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</si>
  <si>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</si>
  <si>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</si>
  <si>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</si>
  <si>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</si>
  <si>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</si>
  <si>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</si>
  <si>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</si>
  <si>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</si>
  <si>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</si>
  <si>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</si>
  <si>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</si>
  <si>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</si>
  <si>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</si>
  <si>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</si>
  <si>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</si>
  <si>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</si>
  <si>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</si>
  <si>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</si>
  <si>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</si>
  <si>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</si>
  <si>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</si>
  <si>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</si>
  <si>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</si>
  <si>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</si>
  <si>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</si>
  <si>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</si>
  <si>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</si>
  <si>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</si>
  <si>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</si>
  <si>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</si>
  <si>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</si>
  <si>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</si>
  <si>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</si>
  <si>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</si>
  <si>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</si>
  <si>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</si>
  <si>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</si>
  <si>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</si>
  <si>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</si>
  <si>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</si>
  <si>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</si>
  <si>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</si>
  <si>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</si>
  <si>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</si>
  <si>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</si>
  <si>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</si>
  <si>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</si>
  <si>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</si>
  <si>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</si>
  <si>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</si>
  <si>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</si>
  <si>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</si>
  <si>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</si>
  <si>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</si>
  <si>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</si>
  <si>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</si>
  <si>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</si>
  <si>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</si>
  <si>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</si>
  <si>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</si>
  <si>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</si>
  <si>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</si>
  <si>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</si>
  <si>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</si>
  <si>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</si>
  <si>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</si>
  <si>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</si>
  <si>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</si>
  <si>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</si>
  <si>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</si>
  <si>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</si>
  <si>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</si>
  <si>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</si>
  <si>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</si>
  <si>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</si>
  <si>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</si>
  <si>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</si>
  <si>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</si>
  <si>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</si>
  <si>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</si>
  <si>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</si>
  <si>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</si>
  <si>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</si>
  <si>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</si>
  <si>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</si>
  <si>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</si>
  <si>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</si>
  <si>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</si>
  <si>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</si>
  <si>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</si>
  <si>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</si>
  <si>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</si>
  <si>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</si>
  <si>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</si>
  <si>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</si>
  <si>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</si>
  <si>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</si>
  <si>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</si>
  <si>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</si>
  <si>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</si>
  <si>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</si>
  <si>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</si>
  <si>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</si>
  <si>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</si>
  <si>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</si>
  <si>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</si>
  <si>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</si>
  <si>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</si>
  <si>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</si>
  <si>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</si>
  <si>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</si>
  <si>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</si>
  <si>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</si>
  <si>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</si>
  <si>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</si>
  <si>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</si>
  <si>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</si>
  <si>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</si>
  <si>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</si>
  <si>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</si>
  <si>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</si>
  <si>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</si>
  <si>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</si>
  <si>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</si>
  <si>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</si>
  <si>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</si>
  <si>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</si>
  <si>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</si>
  <si>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</si>
  <si>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</si>
  <si>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</si>
  <si>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</si>
  <si>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</si>
  <si>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</si>
  <si>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</si>
  <si>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</si>
  <si>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</si>
  <si>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</si>
  <si>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</si>
  <si>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</si>
  <si>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</si>
  <si>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</si>
  <si>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</si>
  <si>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</si>
  <si>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</si>
  <si>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</si>
  <si>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</si>
  <si>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</si>
  <si>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</si>
  <si>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</si>
  <si>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</si>
  <si>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</si>
  <si>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</si>
  <si>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</si>
  <si>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</si>
  <si>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</si>
  <si>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</si>
  <si>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</si>
  <si>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</si>
  <si>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</si>
  <si>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</si>
  <si>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</si>
  <si>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</si>
  <si>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</si>
  <si>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</si>
  <si>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</si>
  <si>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</si>
  <si>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</si>
  <si>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</si>
  <si>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</si>
  <si>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</si>
  <si>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</si>
  <si>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</si>
  <si>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</si>
  <si>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</si>
  <si>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</si>
  <si>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</si>
  <si>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</si>
  <si>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</si>
  <si>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</si>
  <si>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</si>
  <si>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</si>
  <si>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</si>
  <si>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</si>
  <si>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</si>
  <si>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</si>
  <si>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</si>
  <si>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</si>
  <si>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</si>
  <si>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</si>
  <si>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</si>
  <si>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</si>
  <si>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</si>
  <si>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</si>
  <si>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</si>
  <si>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</si>
  <si>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</si>
  <si>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</si>
  <si>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</si>
  <si>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</si>
  <si>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</si>
  <si>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</si>
  <si>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</si>
  <si>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</si>
  <si>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</si>
  <si>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</si>
  <si>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</si>
  <si>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</si>
  <si>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</si>
  <si>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</si>
  <si>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</si>
  <si>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</si>
  <si>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</si>
  <si>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</si>
  <si>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</si>
  <si>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</si>
  <si>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</si>
  <si>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</si>
  <si>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</si>
  <si>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</si>
  <si>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</si>
  <si>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</si>
  <si>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</si>
  <si>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</si>
  <si>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</si>
  <si>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</si>
  <si>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</si>
  <si>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</si>
  <si>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</si>
  <si>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</si>
  <si>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</si>
  <si>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</si>
  <si>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</si>
  <si>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</si>
  <si>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</si>
  <si>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</si>
  <si>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</si>
  <si>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</si>
  <si>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</si>
  <si>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</si>
  <si>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</si>
  <si>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</si>
  <si>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</si>
  <si>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</si>
  <si>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</si>
  <si>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</si>
  <si>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</si>
  <si>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</si>
  <si>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</si>
  <si>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</si>
  <si>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</si>
  <si>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</si>
  <si>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</si>
  <si>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</si>
  <si>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</si>
  <si>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</si>
  <si>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</si>
  <si>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</si>
  <si>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</si>
  <si>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</si>
  <si>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</si>
  <si>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</si>
  <si>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</si>
  <si>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</si>
  <si>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</si>
  <si>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</si>
  <si>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</si>
  <si>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</si>
  <si>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</si>
  <si>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</si>
  <si>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</si>
  <si>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</si>
  <si>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</si>
  <si>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</si>
  <si>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</si>
  <si>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</si>
  <si>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</si>
  <si>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</si>
  <si>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</si>
  <si>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</si>
  <si>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</si>
  <si>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</si>
  <si>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</si>
  <si>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</si>
  <si>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</si>
  <si>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</si>
  <si>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</si>
  <si>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</si>
  <si>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</si>
  <si>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</si>
  <si>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</si>
  <si>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</si>
  <si>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</si>
  <si>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</si>
  <si>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</si>
  <si>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</si>
  <si>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</si>
  <si>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</si>
  <si>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</si>
  <si>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</si>
  <si>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</si>
  <si>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</si>
  <si>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</si>
  <si>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</si>
  <si>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</si>
  <si>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</si>
  <si>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</si>
  <si>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</si>
  <si>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</si>
  <si>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</si>
  <si>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</si>
  <si>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</si>
  <si>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</si>
  <si>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</si>
  <si>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</si>
  <si>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</si>
  <si>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</si>
  <si>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</si>
  <si>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</si>
  <si>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</si>
  <si>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</si>
  <si>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</si>
  <si>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</si>
  <si>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</si>
  <si>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</si>
  <si>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</si>
  <si>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</si>
  <si>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</si>
  <si>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</si>
  <si>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</si>
  <si>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</si>
  <si>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</si>
  <si>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</si>
  <si>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</si>
  <si>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</si>
  <si>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</si>
  <si>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</si>
  <si>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</si>
  <si>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</si>
  <si>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</si>
  <si>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</si>
  <si>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</si>
  <si>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</si>
  <si>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</si>
  <si>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</si>
  <si>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</si>
  <si>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</si>
  <si>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</si>
  <si>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</si>
  <si>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</si>
  <si>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</si>
  <si>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</si>
  <si>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</si>
  <si>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</si>
  <si>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</si>
  <si>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</si>
  <si>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</si>
  <si>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</si>
  <si>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</si>
  <si>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</si>
  <si>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</si>
  <si>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</si>
  <si>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</si>
  <si>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</si>
  <si>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</si>
  <si>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</si>
  <si>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</si>
  <si>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</si>
  <si>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</si>
  <si>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</si>
  <si>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</si>
  <si>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</si>
  <si>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</si>
  <si>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</si>
  <si>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</si>
  <si>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</si>
  <si>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</si>
  <si>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</si>
  <si>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</si>
  <si>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</si>
  <si>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</si>
  <si>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</si>
  <si>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</si>
  <si>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</si>
  <si>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</si>
  <si>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</si>
  <si>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</si>
  <si>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</si>
  <si>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</si>
  <si>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</si>
  <si>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</si>
  <si>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</si>
  <si>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</si>
  <si>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</si>
  <si>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</si>
  <si>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</si>
  <si>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</si>
  <si>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</si>
  <si>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</si>
  <si>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</si>
  <si>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</si>
  <si>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</si>
  <si>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</si>
  <si>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</si>
  <si>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</si>
  <si>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</si>
  <si>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</si>
  <si>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</si>
  <si>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</si>
  <si>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</si>
  <si>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</si>
  <si>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</si>
  <si>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</si>
  <si>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</si>
  <si>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</si>
  <si>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</si>
  <si>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</si>
  <si>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</si>
  <si>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</si>
  <si>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</si>
  <si>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</si>
  <si>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</si>
  <si>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</si>
  <si>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</si>
  <si>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</si>
  <si>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</si>
  <si>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</si>
  <si>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</si>
  <si>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</si>
  <si>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</si>
  <si>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</si>
  <si>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</si>
  <si>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</si>
  <si>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</si>
  <si>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</si>
  <si>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</si>
  <si>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</si>
  <si>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</si>
  <si>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</si>
  <si>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</si>
  <si>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</si>
  <si>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</si>
  <si>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</si>
  <si>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</si>
  <si>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</si>
  <si>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</si>
  <si>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</si>
  <si>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</si>
  <si>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</si>
  <si>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</si>
  <si>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</si>
  <si>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</si>
  <si>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</si>
  <si>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</si>
  <si>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</si>
  <si>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</si>
  <si>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</si>
  <si>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</si>
  <si>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</si>
  <si>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</si>
  <si>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</si>
  <si>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</si>
  <si>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</si>
  <si>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</si>
  <si>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</si>
  <si>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</si>
  <si>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</si>
  <si>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</si>
  <si>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</si>
  <si>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</si>
  <si>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</si>
  <si>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</si>
  <si>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</si>
  <si>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</si>
  <si>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</si>
  <si>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</si>
  <si>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</si>
  <si>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</si>
  <si>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</si>
  <si>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</si>
  <si>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</si>
  <si>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</si>
  <si>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</si>
  <si>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</si>
  <si>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</si>
  <si>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</si>
  <si>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</si>
  <si>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</si>
  <si>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</si>
  <si>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</si>
  <si>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</si>
  <si>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</si>
  <si>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</si>
  <si>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</si>
  <si>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</si>
  <si>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</si>
  <si>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</si>
  <si>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</si>
  <si>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</si>
  <si>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</si>
  <si>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</si>
  <si>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</si>
  <si>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</si>
  <si>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</si>
  <si>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</si>
  <si>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</si>
  <si>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</si>
  <si>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</si>
  <si>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</si>
  <si>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</si>
  <si>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</si>
  <si>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</si>
  <si>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</si>
  <si>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</si>
  <si>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</si>
  <si>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</si>
  <si>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</si>
  <si>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</si>
  <si>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</si>
  <si>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</si>
  <si>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</si>
  <si>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</si>
  <si>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</si>
  <si>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</si>
  <si>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</si>
  <si>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</si>
  <si>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</si>
  <si>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</si>
  <si>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</si>
  <si>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</si>
  <si>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</si>
  <si>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</si>
  <si>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</si>
  <si>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</si>
  <si>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</si>
  <si>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</si>
  <si>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</si>
  <si>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</si>
  <si>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</si>
  <si>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</si>
  <si>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</si>
  <si>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</si>
  <si>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</si>
  <si>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</si>
  <si>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</si>
  <si>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</si>
  <si>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</si>
  <si>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</si>
  <si>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</si>
  <si>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</si>
  <si>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</si>
  <si>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</si>
  <si>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</si>
  <si>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</si>
  <si>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</si>
  <si>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</si>
  <si>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</si>
  <si>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</si>
  <si>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</si>
  <si>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</si>
  <si>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</si>
  <si>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</si>
  <si>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</si>
  <si>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</si>
  <si>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</si>
  <si>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</si>
  <si>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</si>
  <si>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</si>
  <si>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</si>
  <si>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</si>
  <si>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</si>
  <si>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</si>
  <si>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</si>
  <si>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</si>
  <si>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</si>
  <si>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</si>
  <si>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</si>
  <si>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</si>
  <si>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</si>
  <si>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</si>
  <si>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</si>
  <si>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</si>
  <si>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</si>
  <si>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</si>
  <si>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</si>
  <si>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</si>
  <si>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</si>
  <si>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</si>
  <si>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</si>
  <si>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</si>
  <si>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</si>
  <si>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</si>
  <si>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</si>
  <si>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</si>
  <si>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</si>
  <si>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</si>
  <si>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</si>
  <si>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</si>
  <si>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</si>
  <si>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</si>
  <si>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</si>
  <si>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</si>
  <si>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</si>
  <si>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</si>
  <si>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</si>
  <si>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</si>
  <si>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</si>
  <si>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</si>
  <si>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</si>
  <si>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</si>
  <si>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</si>
  <si>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</si>
  <si>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</si>
  <si>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</si>
  <si>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</si>
  <si>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</si>
  <si>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</si>
  <si>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</si>
  <si>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</si>
  <si>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</si>
  <si>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</si>
  <si>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</si>
  <si>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</si>
  <si>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</si>
  <si>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</si>
  <si>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</si>
  <si>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</si>
  <si>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</si>
  <si>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</si>
  <si>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</si>
  <si>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</si>
  <si>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</si>
  <si>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</si>
  <si>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</si>
  <si>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</si>
  <si>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</si>
  <si>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</si>
  <si>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</si>
  <si>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</si>
  <si>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</si>
  <si>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</si>
  <si>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</si>
  <si>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</si>
  <si>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</si>
  <si>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</si>
  <si>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</si>
  <si>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</si>
  <si>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</si>
  <si>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</si>
  <si>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</si>
  <si>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</si>
  <si>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</si>
  <si>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</si>
  <si>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</si>
  <si>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</si>
  <si>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</si>
  <si>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</si>
  <si>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</si>
  <si>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</si>
  <si>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</si>
  <si>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</si>
  <si>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</si>
  <si>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</si>
  <si>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</si>
  <si>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</si>
  <si>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</si>
  <si>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</si>
  <si>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</si>
  <si>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</si>
  <si>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</si>
  <si>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</si>
  <si>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</si>
  <si>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</si>
  <si>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</si>
  <si>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</si>
  <si>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</si>
  <si>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</si>
  <si>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</si>
  <si>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</si>
  <si>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</si>
  <si>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</si>
  <si>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</si>
  <si>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</si>
  <si>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</si>
  <si>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</si>
  <si>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</si>
  <si>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</si>
  <si>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</si>
  <si>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</si>
  <si>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</si>
  <si>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</si>
  <si>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</si>
  <si>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</si>
  <si>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</si>
  <si>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</si>
  <si>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</si>
  <si>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</si>
  <si>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</si>
  <si>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</si>
  <si>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</si>
  <si>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</si>
  <si>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</si>
  <si>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</si>
  <si>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</si>
  <si>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</si>
  <si>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</si>
  <si>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</si>
  <si>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</si>
  <si>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</si>
  <si>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</si>
  <si>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</si>
  <si>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</si>
  <si>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</si>
  <si>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</si>
  <si>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</si>
  <si>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</si>
  <si>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</si>
  <si>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</si>
  <si>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</si>
  <si>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</si>
  <si>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</si>
  <si>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</si>
  <si>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</si>
  <si>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</si>
  <si>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</si>
  <si>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</si>
  <si>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</si>
  <si>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</si>
  <si>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</si>
  <si>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</si>
  <si>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</si>
  <si>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</si>
  <si>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</si>
  <si>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</si>
  <si>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</si>
  <si>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</si>
  <si>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</si>
  <si>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</si>
  <si>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</si>
  <si>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</si>
  <si>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</si>
  <si>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</si>
  <si>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</si>
  <si>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</si>
  <si>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</si>
  <si>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</si>
  <si>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</si>
  <si>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</si>
  <si>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</si>
  <si>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</si>
  <si>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</si>
  <si>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</si>
  <si>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</si>
  <si>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</si>
  <si>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</si>
  <si>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</si>
  <si>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</si>
  <si>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</si>
  <si>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</si>
  <si>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</si>
  <si>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</si>
  <si>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</si>
  <si>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</si>
  <si>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</si>
  <si>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</si>
  <si>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</si>
  <si>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</si>
  <si>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</si>
  <si>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</si>
  <si>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</si>
  <si>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</si>
  <si>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</si>
  <si>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</si>
  <si>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</si>
  <si>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</si>
  <si>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</si>
  <si>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</si>
  <si>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</si>
  <si>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</si>
  <si>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</si>
  <si>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</si>
  <si>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</si>
  <si>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</si>
  <si>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</si>
  <si>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</si>
  <si>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</si>
  <si>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</si>
  <si>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</si>
  <si>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</si>
  <si>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</si>
  <si>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</si>
  <si>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</si>
  <si>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</si>
  <si>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</si>
  <si>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</si>
  <si>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</si>
  <si>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</si>
  <si>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</si>
  <si>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</si>
  <si>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</si>
  <si>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</si>
  <si>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</si>
  <si>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</si>
  <si>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</si>
  <si>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</si>
  <si>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</si>
  <si>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</si>
  <si>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</si>
  <si>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</si>
  <si>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</si>
  <si>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</si>
  <si>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</si>
  <si>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</si>
  <si>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</si>
  <si>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</si>
  <si>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</si>
  <si>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</si>
  <si>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</si>
  <si>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</si>
  <si>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</si>
  <si>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</si>
  <si>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</si>
  <si>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</si>
  <si>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</si>
  <si>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</si>
  <si>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</si>
  <si>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</si>
  <si>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</si>
  <si>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</si>
  <si>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</si>
  <si>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</si>
  <si>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</si>
  <si>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</si>
  <si>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</si>
  <si>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</si>
  <si>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</si>
  <si>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</si>
  <si>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</si>
  <si>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</si>
  <si>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</si>
  <si>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</si>
  <si>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</si>
  <si>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</si>
  <si>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</si>
  <si>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</si>
  <si>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</si>
  <si>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</si>
  <si>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</si>
  <si>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</si>
  <si>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</si>
  <si>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</si>
  <si>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</si>
  <si>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</si>
  <si>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</si>
  <si>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</si>
  <si>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</si>
  <si>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</si>
  <si>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</si>
  <si>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</si>
  <si>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</si>
  <si>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</si>
  <si>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</si>
  <si>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</si>
  <si>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</si>
  <si>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</si>
  <si>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</si>
  <si>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</si>
  <si>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</si>
  <si>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</si>
  <si>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</si>
  <si>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</si>
  <si>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</si>
  <si>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</si>
  <si>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</si>
  <si>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</si>
  <si>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</si>
  <si>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</si>
  <si>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</si>
  <si>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</si>
  <si>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</si>
  <si>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</si>
  <si>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</si>
  <si>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</si>
  <si>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</si>
  <si>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</si>
  <si>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</si>
  <si>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</si>
  <si>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</si>
  <si>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</si>
  <si>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</si>
  <si>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</si>
  <si>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</si>
  <si>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</si>
  <si>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</si>
  <si>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</si>
  <si>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</si>
  <si>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</si>
  <si>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</si>
  <si>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</si>
  <si>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</si>
  <si>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</si>
  <si>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</si>
  <si>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</si>
  <si>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</si>
  <si>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</si>
  <si>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</si>
  <si>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</si>
  <si>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</si>
  <si>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</si>
  <si>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</si>
  <si>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</si>
  <si>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</si>
  <si>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</si>
  <si>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</si>
  <si>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</si>
  <si>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</si>
  <si>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</si>
  <si>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</si>
  <si>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</si>
  <si>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</si>
  <si>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</si>
  <si>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</si>
  <si>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</si>
  <si>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</si>
  <si>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</si>
  <si>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</si>
  <si>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</si>
  <si>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</si>
  <si>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</si>
  <si>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</si>
  <si>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</si>
  <si>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</si>
  <si>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</si>
  <si>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</si>
  <si>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</si>
  <si>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</si>
  <si>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</si>
  <si>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</si>
  <si>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</si>
  <si>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</si>
  <si>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</si>
  <si>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</si>
  <si>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</si>
  <si>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</si>
  <si>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</si>
  <si>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</si>
  <si>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</si>
  <si>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</si>
  <si>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</si>
  <si>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</si>
  <si>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</si>
  <si>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</si>
  <si>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</si>
  <si>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</si>
  <si>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</si>
  <si>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</si>
  <si>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</si>
  <si>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</si>
  <si>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</si>
  <si>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</si>
  <si>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</si>
  <si>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</si>
  <si>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</si>
  <si>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</si>
  <si>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</si>
  <si>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</si>
  <si>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</si>
  <si>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</si>
  <si>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</si>
  <si>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</si>
  <si>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</si>
  <si>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</si>
  <si>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</si>
  <si>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</si>
  <si>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</si>
  <si>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</si>
  <si>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</si>
  <si>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</si>
  <si>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</si>
  <si>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</si>
  <si>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</si>
  <si>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</si>
  <si>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</si>
  <si>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</si>
  <si>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</si>
  <si>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</si>
  <si>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</si>
  <si>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</si>
  <si>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</si>
  <si>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</si>
  <si>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</si>
  <si>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</si>
  <si>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</si>
  <si>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</si>
  <si>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</si>
  <si>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</si>
  <si>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</si>
  <si>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</si>
  <si>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</si>
  <si>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</si>
  <si>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</si>
  <si>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</si>
  <si>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</si>
  <si>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</si>
  <si>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</si>
  <si>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</si>
  <si>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</si>
  <si>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</si>
  <si>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</si>
  <si>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</si>
  <si>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</si>
  <si>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</si>
  <si>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</si>
  <si>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</si>
  <si>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</si>
  <si>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</si>
  <si>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</si>
  <si>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</si>
  <si>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</si>
  <si>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</si>
  <si>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</si>
  <si>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</si>
  <si>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</si>
  <si>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</si>
  <si>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</si>
  <si>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</si>
  <si>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</si>
  <si>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</si>
  <si>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</si>
  <si>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</si>
  <si>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</si>
  <si>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</si>
  <si>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</si>
  <si>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</si>
  <si>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</si>
  <si>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</si>
  <si>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</si>
  <si>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</si>
  <si>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</si>
  <si>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</si>
  <si>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</si>
  <si>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</si>
  <si>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</si>
  <si>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</si>
  <si>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</si>
  <si>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</si>
  <si>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</si>
  <si>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</si>
  <si>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</si>
  <si>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Amortizing</t>
  </si>
  <si>
    <t>N/a</t>
  </si>
  <si>
    <t>Electric Heat Pump</t>
  </si>
  <si>
    <t>Unincorporated County</t>
  </si>
  <si>
    <t>Applicant is targeting a family tenancy for the proposed project</t>
  </si>
  <si>
    <t>Agree</t>
  </si>
  <si>
    <t>N/ap</t>
  </si>
  <si>
    <t>2016-268</t>
  </si>
  <si>
    <t>Bear Creek Village</t>
  </si>
  <si>
    <t>Novogradac</t>
  </si>
  <si>
    <t>N/Ap</t>
  </si>
  <si>
    <t>City of Adel</t>
  </si>
  <si>
    <t>Building</t>
  </si>
  <si>
    <t>Covered Porch</t>
  </si>
  <si>
    <t>On-site laundry</t>
  </si>
  <si>
    <t xml:space="preserve">Applicant agrees to provide the above required amenities in conformance with DCA Amenities Guidebook. The proposed development is of Family tenancy. </t>
  </si>
  <si>
    <t xml:space="preserve">Applicant Worksheet exceeds requirements for Earthcraft MF designation and applicants has attended the appropriate Earthcraft Training. </t>
  </si>
  <si>
    <t>Zeffert &amp; Associates</t>
  </si>
  <si>
    <t xml:space="preserve">Applicant agrees to retain a DCA qualified consultant to monitor the project for accessibility compliance who will not be a member of the project team nor have an identity of interest with any member of the project team. </t>
  </si>
  <si>
    <t>Yes - W&amp;D hookups installed in each unit</t>
  </si>
  <si>
    <t xml:space="preserve">Applicant agrees to meet DCA requirements per the 2022 QAP and Architectural Standards. </t>
  </si>
  <si>
    <t>Not applicabe to the proposed subject development.</t>
  </si>
  <si>
    <t xml:space="preserve">Not Applicable to this project. </t>
  </si>
  <si>
    <t>MIDS Transportation, Inc.</t>
  </si>
  <si>
    <t>Contactus@midsinc.net</t>
  </si>
  <si>
    <t>midsinc.net/our-services/
On-Call service with no schedule posted on website.</t>
  </si>
  <si>
    <t>Cook Primary School</t>
  </si>
  <si>
    <t>Cook Elementary School</t>
  </si>
  <si>
    <t>Cook County Middle School</t>
  </si>
  <si>
    <t>Cook High School</t>
  </si>
  <si>
    <t>Page 7</t>
  </si>
  <si>
    <t>Page 31</t>
  </si>
  <si>
    <t>Pages 8 - 17</t>
  </si>
  <si>
    <t>Pages 21 - 30, 32 and 34</t>
  </si>
  <si>
    <t xml:space="preserve">Applicant is not requesting points in this section </t>
  </si>
  <si>
    <t xml:space="preserve">Applicant is not requesting points in this section. </t>
  </si>
  <si>
    <t xml:space="preserve">The project is within a current Local Government Boundary that has not been awarded an allocation of 9% Credits within the last 15 + DCA Housing Credit Application Rounds. </t>
  </si>
  <si>
    <t xml:space="preserve">Applicant is not claiming points in this section. </t>
  </si>
  <si>
    <t>9% Credit Competitive Round only</t>
  </si>
  <si>
    <t xml:space="preserve">GA DCA - Georgia South </t>
  </si>
  <si>
    <t>Affordable Equity Partners, Inc.</t>
  </si>
  <si>
    <t>Cypress Reserve</t>
  </si>
  <si>
    <t>Community Action Partnership of North Alabama, Inc.</t>
  </si>
  <si>
    <t>Tim Thrasher</t>
  </si>
  <si>
    <t>CEO</t>
  </si>
  <si>
    <t>Director of Real Estate Development</t>
  </si>
  <si>
    <t>Aron Boldog</t>
  </si>
  <si>
    <t>1909 Central Parkway SW</t>
  </si>
  <si>
    <t>tim.thrasher@capna.org</t>
  </si>
  <si>
    <t>aron.boldog@capna.org</t>
  </si>
  <si>
    <t>2022PA-053</t>
  </si>
  <si>
    <t>GP &amp; LP Equity</t>
  </si>
  <si>
    <t xml:space="preserve">GP &amp; LP Equity </t>
  </si>
  <si>
    <t>Community Action Partnership of North Alabama</t>
  </si>
  <si>
    <t>www.capna.org</t>
  </si>
  <si>
    <t>Purchase Contract</t>
  </si>
  <si>
    <t>Community Improvement Fund</t>
  </si>
  <si>
    <t xml:space="preserve">Applicant certifies that they will include the number of services required in the QAP for the proposed tenancy. </t>
  </si>
  <si>
    <t xml:space="preserve">This project did not request HOME Funds. Please see Tab 7 for the Environmental Report. </t>
  </si>
  <si>
    <t>Please see Tab 10 for evidence that the project is in compliance with current zoning regulations and confirmed in writing by the authorized Local Governement official.</t>
  </si>
  <si>
    <t xml:space="preserve">Please see Tab 11 of the application for a letter form City of Adel confirming electric services are available at the site. There is no gas service required for the development. </t>
  </si>
  <si>
    <t>The certifying entity met the experience reqiurements in 2021. A pre-applicatioon was submitted and the Project Team was deemed "Qualified". The Qualification determination  is in Tab 20 of the application.</t>
  </si>
  <si>
    <t>Community Action Partnership of North Alabama, Inc. is a qualified non-profit. Please see Tab 22 for the letter from a third party attorney who specializes in tax law confirming the non-profit's current tax exempt qualification status.</t>
  </si>
  <si>
    <t>Please see Tab 24 for the attorney opinion letter regarding the Nonprofit's federal tax exempt qualification status.</t>
  </si>
  <si>
    <t xml:space="preserve">Applicant agrees to prepare and submit an AFFH Marketing plan that meets the requirements if selected for funding. </t>
  </si>
  <si>
    <t>2-3 Months</t>
  </si>
  <si>
    <t>The project is eligible to receive the full 20 desirable points. The proposed development's site location is within close proximity to numerous amenities, including a a medical care provider, restaurant, Federally Insured Banking Institution, retail stores, pharmacy, child care service, grocery store,church, public park and a police station. Please see Tab 27 for the desirable certification and all backup documentation. There are no undesirables. Project is not located in a USDA Food desert.</t>
  </si>
  <si>
    <t xml:space="preserve">The Community Revitalization Plan clearly delineates Targeted Area within a Local Government boundary that includes the proposed site. This plan also discusses housing as a goal, an assessment of the Targeted Area's existing infrastructiure, and designates implementation measures. Third Party capital improvements include GDOT project 0016257 Val Del Road Improvement. Total funding amount is $2,007,500 with approximately $421,575 of the total within one half mile of the proposed site. Additional road improvement investments as part of the LMIG resurfacing program of $408,660.50, Cook County investment of $10,000 toward the updating and renovation of the local Department of Family Children Service Building, $8,500 in improvements to the 11th Street water well and $165,000 for the Legacy Behavior Health Services. Total Third Party Capital Investment within one half mile of the proposed Cypress Reserve Location is $1,013,735.50. Please see Tab 30 for support documentation for third party capital investment. </t>
  </si>
  <si>
    <t>Applicant is claiming points in this section. Please see Tab 31 for community transformation rubric, plan certificate and support documentation.</t>
  </si>
  <si>
    <t>TBD (only if Option A)</t>
  </si>
  <si>
    <t xml:space="preserve">The Applicant commits to engage QB's in the development or operation of the proposed property in amounts equal to approximately 5% of total construction hard costs, and will submit a report with the Final Allocation Application describing these efforts. </t>
  </si>
  <si>
    <t>Applicant agrees to contract with a third party to provide enriched property services in line with the requirements of the 2022 QAP.</t>
  </si>
  <si>
    <t>Not applicable. Project is all new construction.</t>
  </si>
  <si>
    <t>III. Application Completeness - Application is complete and Applicant believes that there are no missing or incomplete documents.
IV. Deeper Trageting / Rent / Income Restrictions - Applicant has selected income averaging and the overall property AMI is 58%.
XI. Mixed Income Developments - Applicant will make the income averaging minimum set-aside election, and does not include market rate units.
XV. Extended Affordability Commitment - Owner is willing to forgo the qualified contract cancellation option after the close of the compliance period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XVI. Exceptional Nonprofit - The Applicant is claiming points under this section. The Applicant did not recieve these points in the prior years competitive round and the nonprofit entity is the same entity that meets the requirements under the nonprofit set-aside. Cypress Reserve is the only application that the nonprofit is requesting in the 2022 9% funding round.
XX. Compliance - Applicant is in full compliance and should recieve the full 10 points.</t>
  </si>
  <si>
    <t>Please see Tab 28 for the Community Transportation documentations. The proposed application is located in the Rural pool and on-call service on-site transportation will be provided by MIDS Transportation.</t>
  </si>
  <si>
    <t>Central Bank of Kansas City</t>
  </si>
  <si>
    <t>Central Bank of Kansas City (CDFI CMF)</t>
  </si>
  <si>
    <t>Please see Tab 02 for preliminary commitments for both financing and equity, which includes the Construction/Permanent Favorable Financing Loan from Central Bank of Kansas City offered as a result of their 2020 Capital Magnent Fund award from the CDFI Fund division of the United States Treasury Department. The proposed loan is for a minimum term of 10 years at or below long-term monthly AFR effective May 1, 2022 (2.63%).</t>
  </si>
  <si>
    <t>The applicant has reduced the total Developer Fee ($1,375,000) by the the $50,000 community improvement fund as a commitment of funds for services to support the provision of community services and resources to the proposed development's future residents and/or neighbors.</t>
  </si>
  <si>
    <t>The proposed property is located in Cook County, which is in the DCA Southern Region.</t>
  </si>
  <si>
    <t>TV, Internet &amp; Cable</t>
  </si>
  <si>
    <t>Please see Tab 2 of the Application for the Insurance and Real Estate Tax estimate documentation.</t>
  </si>
  <si>
    <t>Applicant believes that the proposed Cypress Reserve project is viable, feasible and in conformance with the plan. The overall development, construction and operating costs were evaluated by an experience Genaral Contractor, Engineer and Management Company. Total hard cost estimates were provided by the general contractor and a third-party engineer – both with numerous historical and currently active experience in GA LIHTC and the proposed Family Walk-Up design. In addition to the residential square footage, the general contractor also accounted for the breezeways and porches square footages when providing their cost estimate. The engineer has visited the proposed site and determined the estimate for site construction costs.</t>
  </si>
  <si>
    <t xml:space="preserve">Please find documentation for local government fees included in Tab 2 of this Application. Total hard cost estimates were provided by the general contractor and a third-party engineer – both with numerous historical and currently active experience in GA LIHTC and the proposed Family Walk-Up design. </t>
  </si>
  <si>
    <t>Please see Tab 5 of the Application for the market study performed by Novogradac. There are No current LIHTC vacancies in the market and the LIHTC comparables reported waiting lists from three to 265 households in length. The low vacancy rates and presence of waiting lists at these properties indicates there is an unmet demand for affordable housing in the are.</t>
  </si>
  <si>
    <t>There is no identity of interest of interest</t>
  </si>
  <si>
    <t>Geotechnical &amp; Environmental Consultants, Inc., A Terracon Company</t>
  </si>
  <si>
    <t>57 dB</t>
  </si>
  <si>
    <t>Cypress Reserve, LP</t>
  </si>
  <si>
    <t>Please see Tab 8 for evidence of site control through November 30, 2022.</t>
  </si>
  <si>
    <t>Please see Tab 9 for evidence of the site is legally accessible by paved roads.</t>
  </si>
  <si>
    <t>Please see Tab 16 for the Conceptual Site Development Plan prepared in accordance with all instructions set forth in the DCA Architectural Manual, Appendix II: Submission Requirements.</t>
  </si>
  <si>
    <t>Applicant believes that the project as proposed is an optimal utilization of resources and will bring much needed affordable housing to the subject market area.</t>
  </si>
  <si>
    <t>Please see Tab 41 of the Application for the GICH support letter signed by the primary contact and the government agreement for the issuance of the GICH letter signed by the Mayor</t>
  </si>
  <si>
    <t>Please see Tab 2 and 42 for the commitment for the Construction/Permanent Favorable Financing Loan from Central Bank of Kansas City offered as a result of their 2020 Capital Magnent Fund award from the CDFI Fund division of the United States Treasury Department. The proposed loan is for a minimum term of 10 years at or below long-term monthly AFR effective May 1, 2022 (2.63%).</t>
  </si>
  <si>
    <t>The proposed development has units without PBRA contracts, tenancy is Family and contains at least 10% of total units as 1 bedroom. The Applicant commits to accept DCA-administered PBRA at the proposed development for not more than 20% of overall units, if funding is available. Applicant has a controlling interest in the general partnership and has agreed to contract with DCA PBRA under a prior QAP.</t>
  </si>
  <si>
    <t>Please see Tab 12 verification of water/sewer letter. No commitment required to extend water &amp; sewer to the proposed development site.</t>
  </si>
  <si>
    <t>See Tab 29 for Quality Education Area details. Both the Cook Primary School and Cook County Middle School recieved BTO in 2019 have an average year-over-year positive change in CCRPI score between 2015 and 2019 and average score for that time period is above the DCA threshold. The two schools serve grades between Kindergarten and 12th grade per the 2022 QAP and serve a combined seven grade levels, therefore the development is eligible for 1.5 points.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</si>
</sst>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xmlns=""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Cypress Reserve</v>
      </c>
    </row>
    <row r="3" spans="1:6" ht="15" customHeight="1">
      <c r="A3" s="849" t="str">
        <f>CONCATENATE('Part I-Project Identification'!F30,", ", 'Part I-Project Identification'!J30," County")</f>
        <v>Adel, Cook County</v>
      </c>
    </row>
    <row r="4" spans="1:6" ht="12" customHeight="1">
      <c r="A4" s="1426"/>
    </row>
    <row r="5" spans="1:6" ht="72" customHeight="1">
      <c r="A5" s="3296" t="s">
        <v>6075</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 zoomScale="90" zoomScaleNormal="90" workbookViewId="0">
      <selection activeCell="A257" sqref="A25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3139</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2" t="str">
        <f>CONCATENATE("PART FOUR - PROJECTED REVENUES &amp; EXPENSES","  -  ",'Part I-Project Identification'!$O$7," ",'Part I-Project Identification'!$F$29,", ",'Part I-Project Identification'!F30,", ",'Part I-Project Identification'!J30," County")</f>
        <v>PART FOUR - PROJECTED REVENUES &amp; EXPENSES  -  2022-0 Cypress Reserve, Adel, Cook County</v>
      </c>
      <c r="B2" s="3863"/>
      <c r="C2" s="3863"/>
      <c r="D2" s="3863"/>
      <c r="E2" s="3863"/>
      <c r="F2" s="3863"/>
      <c r="G2" s="3863"/>
      <c r="H2" s="3863"/>
      <c r="I2" s="3863"/>
      <c r="J2" s="3863"/>
      <c r="K2" s="3863"/>
      <c r="L2" s="3863"/>
      <c r="M2" s="3863"/>
      <c r="N2" s="3863"/>
      <c r="O2" s="3863"/>
      <c r="P2" s="3863"/>
      <c r="Q2" s="3864"/>
      <c r="T2" s="1820" t="str">
        <f>A2</f>
        <v>PART FOUR - PROJECTED REVENUES &amp; EXPENSES  -  2022-0 Cypress Reserve, Adel, Cook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6097</v>
      </c>
      <c r="E4" s="1929"/>
      <c r="F4" s="1929"/>
      <c r="G4" s="1929"/>
      <c r="H4" s="1929"/>
      <c r="I4" s="1929"/>
      <c r="J4" s="1929"/>
      <c r="K4" s="122"/>
      <c r="L4" s="122"/>
      <c r="M4" s="122"/>
      <c r="O4" s="192" t="s">
        <v>534</v>
      </c>
      <c r="P4" s="3870" t="str">
        <f>'Part I-Project Identification'!$O$32</f>
        <v>Cook Co.</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3047</v>
      </c>
      <c r="MG4" s="3941" t="s">
        <v>3048</v>
      </c>
      <c r="MH4" s="3941" t="s">
        <v>3049</v>
      </c>
      <c r="MI4" s="3941" t="s">
        <v>3050</v>
      </c>
      <c r="MJ4" s="394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3207</v>
      </c>
      <c r="R5" s="1053"/>
      <c r="S5" s="443"/>
      <c r="T5" s="443"/>
      <c r="U5" s="443"/>
      <c r="W5" s="444"/>
      <c r="X5" s="3941" t="s">
        <v>3684</v>
      </c>
      <c r="Y5" s="3941" t="s">
        <v>3685</v>
      </c>
      <c r="Z5" s="3941" t="s">
        <v>3686</v>
      </c>
      <c r="AA5" s="3941" t="s">
        <v>3687</v>
      </c>
      <c r="AB5" s="3941" t="s">
        <v>3688</v>
      </c>
      <c r="AC5" s="3941" t="s">
        <v>3689</v>
      </c>
      <c r="AD5" s="3941" t="s">
        <v>3690</v>
      </c>
      <c r="AE5" s="3941" t="s">
        <v>3691</v>
      </c>
      <c r="AF5" s="3941" t="s">
        <v>3692</v>
      </c>
      <c r="AG5" s="3941" t="s">
        <v>3693</v>
      </c>
      <c r="AH5" s="3941" t="s">
        <v>861</v>
      </c>
      <c r="AI5" s="3941" t="s">
        <v>705</v>
      </c>
      <c r="AJ5" s="3941" t="s">
        <v>706</v>
      </c>
      <c r="AK5" s="3941" t="s">
        <v>707</v>
      </c>
      <c r="AL5" s="3941" t="s">
        <v>708</v>
      </c>
      <c r="AM5" s="3941" t="s">
        <v>862</v>
      </c>
      <c r="AN5" s="3941" t="s">
        <v>2132</v>
      </c>
      <c r="AO5" s="3941" t="s">
        <v>2133</v>
      </c>
      <c r="AP5" s="3941" t="s">
        <v>2134</v>
      </c>
      <c r="AQ5" s="3941" t="s">
        <v>2135</v>
      </c>
      <c r="AR5" s="3941" t="s">
        <v>3695</v>
      </c>
      <c r="AS5" s="3941" t="s">
        <v>3696</v>
      </c>
      <c r="AT5" s="3941" t="s">
        <v>3697</v>
      </c>
      <c r="AU5" s="3941" t="s">
        <v>3698</v>
      </c>
      <c r="AV5" s="3941" t="s">
        <v>3694</v>
      </c>
      <c r="AW5" s="3941" t="s">
        <v>863</v>
      </c>
      <c r="AX5" s="3941" t="s">
        <v>2136</v>
      </c>
      <c r="AY5" s="3941" t="s">
        <v>2137</v>
      </c>
      <c r="AZ5" s="3941" t="s">
        <v>2138</v>
      </c>
      <c r="BA5" s="3941" t="s">
        <v>2139</v>
      </c>
      <c r="BB5" s="3941" t="s">
        <v>3699</v>
      </c>
      <c r="BC5" s="3941" t="s">
        <v>3700</v>
      </c>
      <c r="BD5" s="3941" t="s">
        <v>3701</v>
      </c>
      <c r="BE5" s="3941" t="s">
        <v>3702</v>
      </c>
      <c r="BF5" s="3941" t="s">
        <v>3703</v>
      </c>
      <c r="BG5" s="3941" t="s">
        <v>123</v>
      </c>
      <c r="BH5" s="3941" t="s">
        <v>2140</v>
      </c>
      <c r="BI5" s="3941" t="s">
        <v>2141</v>
      </c>
      <c r="BJ5" s="3941" t="s">
        <v>2142</v>
      </c>
      <c r="BK5" s="3941" t="s">
        <v>1081</v>
      </c>
      <c r="BL5" s="3941" t="s">
        <v>3704</v>
      </c>
      <c r="BM5" s="3941" t="s">
        <v>3705</v>
      </c>
      <c r="BN5" s="3941" t="s">
        <v>3706</v>
      </c>
      <c r="BO5" s="3941" t="s">
        <v>3707</v>
      </c>
      <c r="BP5" s="3941" t="s">
        <v>3708</v>
      </c>
      <c r="BQ5" s="3941" t="s">
        <v>517</v>
      </c>
      <c r="BR5" s="3941" t="s">
        <v>518</v>
      </c>
      <c r="BS5" s="3941" t="s">
        <v>535</v>
      </c>
      <c r="BT5" s="3941" t="s">
        <v>536</v>
      </c>
      <c r="BU5" s="3941" t="s">
        <v>537</v>
      </c>
      <c r="BV5" s="3941" t="s">
        <v>3709</v>
      </c>
      <c r="BW5" s="3941" t="s">
        <v>3710</v>
      </c>
      <c r="BX5" s="3941" t="s">
        <v>3711</v>
      </c>
      <c r="BY5" s="3941" t="s">
        <v>3712</v>
      </c>
      <c r="BZ5" s="3941" t="s">
        <v>3713</v>
      </c>
      <c r="CA5" s="3941" t="s">
        <v>538</v>
      </c>
      <c r="CB5" s="3941" t="s">
        <v>539</v>
      </c>
      <c r="CC5" s="3941" t="s">
        <v>540</v>
      </c>
      <c r="CD5" s="3941" t="s">
        <v>541</v>
      </c>
      <c r="CE5" s="3941" t="s">
        <v>542</v>
      </c>
      <c r="CF5" s="3941" t="s">
        <v>543</v>
      </c>
      <c r="CG5" s="3941" t="s">
        <v>544</v>
      </c>
      <c r="CH5" s="3941" t="s">
        <v>872</v>
      </c>
      <c r="CI5" s="3941" t="s">
        <v>873</v>
      </c>
      <c r="CJ5" s="3941" t="s">
        <v>874</v>
      </c>
      <c r="CK5" s="3941" t="s">
        <v>3719</v>
      </c>
      <c r="CL5" s="3941" t="s">
        <v>3720</v>
      </c>
      <c r="CM5" s="3941" t="s">
        <v>3721</v>
      </c>
      <c r="CN5" s="3941" t="s">
        <v>3722</v>
      </c>
      <c r="CO5" s="3941" t="s">
        <v>3723</v>
      </c>
      <c r="CP5" s="3941" t="s">
        <v>3714</v>
      </c>
      <c r="CQ5" s="3941" t="s">
        <v>3715</v>
      </c>
      <c r="CR5" s="3941" t="s">
        <v>3716</v>
      </c>
      <c r="CS5" s="3941" t="s">
        <v>3717</v>
      </c>
      <c r="CT5" s="3941" t="s">
        <v>3718</v>
      </c>
      <c r="CU5" s="3941" t="s">
        <v>3724</v>
      </c>
      <c r="CV5" s="3941" t="s">
        <v>3725</v>
      </c>
      <c r="CW5" s="3941" t="s">
        <v>3726</v>
      </c>
      <c r="CX5" s="3941" t="s">
        <v>3727</v>
      </c>
      <c r="CY5" s="3941" t="s">
        <v>3728</v>
      </c>
      <c r="CZ5" s="3941" t="s">
        <v>466</v>
      </c>
      <c r="DA5" s="3941" t="s">
        <v>467</v>
      </c>
      <c r="DB5" s="3941" t="s">
        <v>468</v>
      </c>
      <c r="DC5" s="3941" t="s">
        <v>469</v>
      </c>
      <c r="DD5" s="3941" t="s">
        <v>470</v>
      </c>
      <c r="DE5" s="3941" t="s">
        <v>3729</v>
      </c>
      <c r="DF5" s="3941" t="s">
        <v>3730</v>
      </c>
      <c r="DG5" s="3941" t="s">
        <v>3731</v>
      </c>
      <c r="DH5" s="3941" t="s">
        <v>3732</v>
      </c>
      <c r="DI5" s="3941" t="s">
        <v>3733</v>
      </c>
      <c r="DJ5" s="3941" t="s">
        <v>822</v>
      </c>
      <c r="DK5" s="3941" t="s">
        <v>823</v>
      </c>
      <c r="DL5" s="3941" t="s">
        <v>824</v>
      </c>
      <c r="DM5" s="3941" t="s">
        <v>825</v>
      </c>
      <c r="DN5" s="3941" t="s">
        <v>826</v>
      </c>
      <c r="DO5" s="3941" t="s">
        <v>827</v>
      </c>
      <c r="DP5" s="3941" t="s">
        <v>828</v>
      </c>
      <c r="DQ5" s="3941" t="s">
        <v>829</v>
      </c>
      <c r="DR5" s="3941" t="s">
        <v>830</v>
      </c>
      <c r="DS5" s="3941" t="s">
        <v>831</v>
      </c>
      <c r="DT5" s="3941" t="s">
        <v>3734</v>
      </c>
      <c r="DU5" s="3941" t="s">
        <v>3735</v>
      </c>
      <c r="DV5" s="3941" t="s">
        <v>3736</v>
      </c>
      <c r="DW5" s="3941" t="s">
        <v>3737</v>
      </c>
      <c r="DX5" s="3941" t="s">
        <v>3738</v>
      </c>
      <c r="DY5" s="3941" t="s">
        <v>3739</v>
      </c>
      <c r="DZ5" s="3941" t="s">
        <v>3740</v>
      </c>
      <c r="EA5" s="3941" t="s">
        <v>3741</v>
      </c>
      <c r="EB5" s="3941" t="s">
        <v>3742</v>
      </c>
      <c r="EC5" s="3941" t="s">
        <v>3743</v>
      </c>
      <c r="ED5" s="3941" t="s">
        <v>2236</v>
      </c>
      <c r="EE5" s="3941" t="s">
        <v>2237</v>
      </c>
      <c r="EF5" s="3941" t="s">
        <v>2238</v>
      </c>
      <c r="EG5" s="3941" t="s">
        <v>2239</v>
      </c>
      <c r="EH5" s="3941" t="s">
        <v>2240</v>
      </c>
      <c r="EI5" s="3941" t="s">
        <v>3744</v>
      </c>
      <c r="EJ5" s="3941" t="s">
        <v>3745</v>
      </c>
      <c r="EK5" s="3941" t="s">
        <v>3746</v>
      </c>
      <c r="EL5" s="3941" t="s">
        <v>3747</v>
      </c>
      <c r="EM5" s="3941" t="s">
        <v>3748</v>
      </c>
      <c r="EN5" s="3941" t="s">
        <v>3749</v>
      </c>
      <c r="EO5" s="3941" t="s">
        <v>3750</v>
      </c>
      <c r="EP5" s="3941" t="s">
        <v>3751</v>
      </c>
      <c r="EQ5" s="3941" t="s">
        <v>3752</v>
      </c>
      <c r="ER5" s="3941" t="s">
        <v>3753</v>
      </c>
      <c r="ES5" s="3941" t="s">
        <v>111</v>
      </c>
      <c r="ET5" s="3941" t="s">
        <v>1084</v>
      </c>
      <c r="EU5" s="3941" t="s">
        <v>1085</v>
      </c>
      <c r="EV5" s="3941" t="s">
        <v>1140</v>
      </c>
      <c r="EW5" s="3941" t="s">
        <v>1141</v>
      </c>
      <c r="EX5" s="3941" t="s">
        <v>126</v>
      </c>
      <c r="EY5" s="3941" t="s">
        <v>1142</v>
      </c>
      <c r="EZ5" s="3941" t="s">
        <v>1143</v>
      </c>
      <c r="FA5" s="3941" t="s">
        <v>1144</v>
      </c>
      <c r="FB5" s="3941" t="s">
        <v>1145</v>
      </c>
      <c r="FC5" s="3941" t="s">
        <v>3754</v>
      </c>
      <c r="FD5" s="3941" t="s">
        <v>3755</v>
      </c>
      <c r="FE5" s="3941" t="s">
        <v>3756</v>
      </c>
      <c r="FF5" s="3941" t="s">
        <v>3757</v>
      </c>
      <c r="FG5" s="3941" t="s">
        <v>3758</v>
      </c>
      <c r="FH5" s="3941" t="s">
        <v>125</v>
      </c>
      <c r="FI5" s="3941" t="s">
        <v>853</v>
      </c>
      <c r="FJ5" s="3941" t="s">
        <v>854</v>
      </c>
      <c r="FK5" s="3941" t="s">
        <v>855</v>
      </c>
      <c r="FL5" s="3941" t="s">
        <v>856</v>
      </c>
      <c r="FM5" s="3941" t="s">
        <v>3759</v>
      </c>
      <c r="FN5" s="3941" t="s">
        <v>3760</v>
      </c>
      <c r="FO5" s="3941" t="s">
        <v>3761</v>
      </c>
      <c r="FP5" s="3941" t="s">
        <v>3762</v>
      </c>
      <c r="FQ5" s="3941" t="s">
        <v>3763</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2235</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2043</v>
      </c>
      <c r="HQ5" s="3941" t="s">
        <v>2044</v>
      </c>
      <c r="HR5" s="3941" t="s">
        <v>2045</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2322</v>
      </c>
      <c r="LI5" s="3941" t="s">
        <v>2323</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2" t="str">
        <f>IF(A49&gt;0,"Finish Row!","")</f>
        <v/>
      </c>
      <c r="B6" s="177" t="s">
        <v>6098</v>
      </c>
      <c r="D6" s="1929"/>
      <c r="E6" s="1929"/>
      <c r="F6" s="1929"/>
      <c r="G6" s="1530" t="s">
        <v>194</v>
      </c>
      <c r="H6" s="3865" t="s">
        <v>6100</v>
      </c>
      <c r="I6" s="3866"/>
      <c r="J6" s="3866"/>
      <c r="K6" s="1054" t="s">
        <v>3139</v>
      </c>
      <c r="L6" s="3979" t="str">
        <f>'Part I-Project Identification'!$A$6</f>
        <v>May 12 2022 Core Application</v>
      </c>
      <c r="M6" s="3979"/>
      <c r="N6" s="3979"/>
      <c r="O6" s="2257" t="s">
        <v>6080</v>
      </c>
      <c r="P6" s="1915">
        <v>63400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3042</v>
      </c>
      <c r="ML6" s="3961" t="s">
        <v>3043</v>
      </c>
      <c r="MM6" s="3961" t="s">
        <v>3044</v>
      </c>
      <c r="MN6" s="3961" t="s">
        <v>3045</v>
      </c>
      <c r="MO6" s="3961" t="s">
        <v>3046</v>
      </c>
      <c r="MP6" s="3941" t="s">
        <v>6287</v>
      </c>
      <c r="MQ6" s="3941" t="s">
        <v>6288</v>
      </c>
      <c r="MR6" s="3941" t="s">
        <v>6289</v>
      </c>
      <c r="MS6" s="3941" t="s">
        <v>6290</v>
      </c>
      <c r="MT6" s="3941"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2"/>
      <c r="B7" s="29" t="s">
        <v>6099</v>
      </c>
      <c r="E7" s="4"/>
      <c r="G7" s="1575" t="s">
        <v>2654</v>
      </c>
      <c r="I7" s="3967" t="s">
        <v>4075</v>
      </c>
      <c r="J7" s="1054" t="s">
        <v>742</v>
      </c>
      <c r="K7" s="1054" t="s">
        <v>3186</v>
      </c>
      <c r="L7" s="3979"/>
      <c r="M7" s="3979"/>
      <c r="N7" s="3979"/>
      <c r="O7" s="2258" t="s">
        <v>6079</v>
      </c>
      <c r="P7" s="1971">
        <v>44562</v>
      </c>
      <c r="Q7" s="3942"/>
      <c r="R7" s="3958" t="s">
        <v>2458</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2"/>
      <c r="B8" s="1055" t="s">
        <v>3766</v>
      </c>
      <c r="C8" s="1"/>
      <c r="E8" s="1"/>
      <c r="F8" s="1"/>
      <c r="I8" s="3967"/>
      <c r="J8" s="1054" t="s">
        <v>743</v>
      </c>
      <c r="K8" s="1054" t="s">
        <v>3187</v>
      </c>
      <c r="L8" s="850"/>
      <c r="M8" s="850"/>
      <c r="N8" s="2256" t="s">
        <v>6484</v>
      </c>
      <c r="O8" s="3969" t="s">
        <v>6916</v>
      </c>
      <c r="P8" s="3970"/>
      <c r="Q8" s="3942"/>
      <c r="R8" s="851"/>
      <c r="S8" s="855" t="s">
        <v>2455</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3767</v>
      </c>
      <c r="C9" s="1054" t="s">
        <v>165</v>
      </c>
      <c r="D9" s="1054" t="s">
        <v>510</v>
      </c>
      <c r="E9" s="1054" t="s">
        <v>1383</v>
      </c>
      <c r="F9" s="1054" t="s">
        <v>1383</v>
      </c>
      <c r="G9" s="3967" t="s">
        <v>6095</v>
      </c>
      <c r="H9" s="1928" t="s">
        <v>3304</v>
      </c>
      <c r="I9" s="3967"/>
      <c r="J9" s="3963" t="s">
        <v>6089</v>
      </c>
      <c r="K9" s="1054" t="s">
        <v>2218</v>
      </c>
      <c r="L9" s="3959" t="s">
        <v>139</v>
      </c>
      <c r="M9" s="3960"/>
      <c r="N9" s="1054" t="s">
        <v>2185</v>
      </c>
      <c r="O9" s="1054" t="s">
        <v>6487</v>
      </c>
      <c r="P9" s="3965" t="s">
        <v>6251</v>
      </c>
      <c r="Q9" s="3942"/>
      <c r="R9" s="1054" t="s">
        <v>2454</v>
      </c>
      <c r="S9" s="1054" t="s">
        <v>2456</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2246</v>
      </c>
      <c r="IB9" s="2517" t="s">
        <v>2247</v>
      </c>
      <c r="IC9" s="2517" t="s">
        <v>2248</v>
      </c>
      <c r="ID9" s="2517" t="s">
        <v>2249</v>
      </c>
      <c r="IE9" s="3941" t="s">
        <v>2300</v>
      </c>
      <c r="IF9" s="3941" t="s">
        <v>2300</v>
      </c>
      <c r="IG9" s="3941" t="s">
        <v>2300</v>
      </c>
      <c r="IH9" s="3941" t="s">
        <v>2300</v>
      </c>
      <c r="II9" s="3941" t="s">
        <v>2300</v>
      </c>
      <c r="IJ9" s="3941" t="s">
        <v>3002</v>
      </c>
      <c r="IK9" s="3941" t="s">
        <v>3002</v>
      </c>
      <c r="IL9" s="3941" t="s">
        <v>3002</v>
      </c>
      <c r="IM9" s="3941" t="s">
        <v>3002</v>
      </c>
      <c r="IN9" s="3941" t="s">
        <v>3002</v>
      </c>
      <c r="IO9" s="2517" t="s">
        <v>526</v>
      </c>
      <c r="IP9" s="2517" t="s">
        <v>2246</v>
      </c>
      <c r="IQ9" s="2517" t="s">
        <v>2247</v>
      </c>
      <c r="IR9" s="2517" t="s">
        <v>2248</v>
      </c>
      <c r="IS9" s="2517" t="s">
        <v>2249</v>
      </c>
      <c r="IT9" s="2517" t="s">
        <v>526</v>
      </c>
      <c r="IU9" s="2517" t="s">
        <v>2246</v>
      </c>
      <c r="IV9" s="2517" t="s">
        <v>2247</v>
      </c>
      <c r="IW9" s="2517" t="s">
        <v>2248</v>
      </c>
      <c r="IX9" s="2517" t="s">
        <v>2249</v>
      </c>
      <c r="IY9" s="3941" t="s">
        <v>6292</v>
      </c>
      <c r="IZ9" s="3941" t="s">
        <v>6292</v>
      </c>
      <c r="JA9" s="3941" t="s">
        <v>6292</v>
      </c>
      <c r="JB9" s="3941" t="s">
        <v>6292</v>
      </c>
      <c r="JC9" s="3941" t="s">
        <v>6292</v>
      </c>
      <c r="JD9" s="3941" t="s">
        <v>6293</v>
      </c>
      <c r="JE9" s="3941" t="s">
        <v>6293</v>
      </c>
      <c r="JF9" s="3941" t="s">
        <v>6293</v>
      </c>
      <c r="JG9" s="3941" t="s">
        <v>6293</v>
      </c>
      <c r="JH9" s="3941" t="s">
        <v>6293</v>
      </c>
      <c r="JI9" s="3941" t="s">
        <v>6295</v>
      </c>
      <c r="JJ9" s="3941" t="s">
        <v>6295</v>
      </c>
      <c r="JK9" s="3941" t="s">
        <v>6295</v>
      </c>
      <c r="JL9" s="3941" t="s">
        <v>6295</v>
      </c>
      <c r="JM9" s="3941" t="s">
        <v>6295</v>
      </c>
      <c r="JN9" s="3941" t="s">
        <v>6296</v>
      </c>
      <c r="JO9" s="3941" t="s">
        <v>6296</v>
      </c>
      <c r="JP9" s="3941" t="s">
        <v>6296</v>
      </c>
      <c r="JQ9" s="3941" t="s">
        <v>6296</v>
      </c>
      <c r="JR9" s="3941" t="s">
        <v>6296</v>
      </c>
      <c r="JS9" s="3941" t="s">
        <v>6297</v>
      </c>
      <c r="JT9" s="3941" t="s">
        <v>6297</v>
      </c>
      <c r="JU9" s="3941" t="s">
        <v>6297</v>
      </c>
      <c r="JV9" s="3941" t="s">
        <v>6297</v>
      </c>
      <c r="JW9" s="3941" t="s">
        <v>6297</v>
      </c>
      <c r="JX9" s="3941" t="s">
        <v>6488</v>
      </c>
      <c r="JY9" s="3941" t="s">
        <v>6488</v>
      </c>
      <c r="JZ9" s="3941" t="s">
        <v>6488</v>
      </c>
      <c r="KA9" s="3941" t="s">
        <v>6488</v>
      </c>
      <c r="KB9" s="3941" t="s">
        <v>6488</v>
      </c>
      <c r="KC9" s="3941" t="s">
        <v>6656</v>
      </c>
      <c r="KD9" s="3941" t="s">
        <v>6656</v>
      </c>
      <c r="KE9" s="3941" t="s">
        <v>6656</v>
      </c>
      <c r="KF9" s="3941" t="s">
        <v>6656</v>
      </c>
      <c r="KG9" s="3941" t="s">
        <v>6656</v>
      </c>
      <c r="KH9" s="3941" t="s">
        <v>6657</v>
      </c>
      <c r="KI9" s="3941" t="s">
        <v>6657</v>
      </c>
      <c r="KJ9" s="3941" t="s">
        <v>6657</v>
      </c>
      <c r="KK9" s="3941" t="s">
        <v>6657</v>
      </c>
      <c r="KL9" s="3941" t="s">
        <v>6657</v>
      </c>
      <c r="KM9" s="3941" t="s">
        <v>6299</v>
      </c>
      <c r="KN9" s="3941" t="s">
        <v>6299</v>
      </c>
      <c r="KO9" s="3941" t="s">
        <v>6299</v>
      </c>
      <c r="KP9" s="3941" t="s">
        <v>6299</v>
      </c>
      <c r="KQ9" s="3941" t="s">
        <v>6299</v>
      </c>
      <c r="KR9" s="3941" t="s">
        <v>6489</v>
      </c>
      <c r="KS9" s="3941" t="s">
        <v>6489</v>
      </c>
      <c r="KT9" s="3941" t="s">
        <v>6489</v>
      </c>
      <c r="KU9" s="3941" t="s">
        <v>6489</v>
      </c>
      <c r="KV9" s="3941" t="s">
        <v>6489</v>
      </c>
      <c r="KW9" s="3941" t="s">
        <v>6658</v>
      </c>
      <c r="KX9" s="3941" t="s">
        <v>6658</v>
      </c>
      <c r="KY9" s="3941" t="s">
        <v>6658</v>
      </c>
      <c r="KZ9" s="3941" t="s">
        <v>6658</v>
      </c>
      <c r="LA9" s="3941" t="s">
        <v>6658</v>
      </c>
      <c r="LB9" s="3941" t="s">
        <v>6659</v>
      </c>
      <c r="LC9" s="3941" t="s">
        <v>6659</v>
      </c>
      <c r="LD9" s="3941" t="s">
        <v>6659</v>
      </c>
      <c r="LE9" s="3941" t="s">
        <v>6659</v>
      </c>
      <c r="LF9" s="3941" t="s">
        <v>6659</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3936</v>
      </c>
      <c r="C10" s="1054" t="s">
        <v>164</v>
      </c>
      <c r="D10" s="1054" t="s">
        <v>166</v>
      </c>
      <c r="E10" s="1054" t="s">
        <v>1384</v>
      </c>
      <c r="F10" s="1054" t="s">
        <v>1204</v>
      </c>
      <c r="G10" s="3968"/>
      <c r="H10" s="1054" t="s">
        <v>6096</v>
      </c>
      <c r="I10" s="3968"/>
      <c r="J10" s="3964"/>
      <c r="K10" s="470" t="s">
        <v>334</v>
      </c>
      <c r="L10" s="1054" t="s">
        <v>1433</v>
      </c>
      <c r="M10" s="1054" t="s">
        <v>504</v>
      </c>
      <c r="N10" s="1054" t="s">
        <v>1383</v>
      </c>
      <c r="O10" s="1054" t="s">
        <v>6501</v>
      </c>
      <c r="P10" s="3966"/>
      <c r="Q10" s="3943"/>
      <c r="R10" s="1054" t="s">
        <v>1385</v>
      </c>
      <c r="S10" s="1054" t="s">
        <v>2457</v>
      </c>
      <c r="T10" s="31" t="s">
        <v>1711</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2299</v>
      </c>
      <c r="IB10" s="2517" t="s">
        <v>2299</v>
      </c>
      <c r="IC10" s="2517" t="s">
        <v>2299</v>
      </c>
      <c r="ID10" s="2517" t="s">
        <v>2299</v>
      </c>
      <c r="IE10" s="3941"/>
      <c r="IF10" s="3941"/>
      <c r="IG10" s="3941"/>
      <c r="IH10" s="3941"/>
      <c r="II10" s="3941"/>
      <c r="IJ10" s="3941"/>
      <c r="IK10" s="3941"/>
      <c r="IL10" s="3941"/>
      <c r="IM10" s="3941"/>
      <c r="IN10" s="3941"/>
      <c r="IO10" s="2517" t="s">
        <v>2301</v>
      </c>
      <c r="IP10" s="2517" t="s">
        <v>2301</v>
      </c>
      <c r="IQ10" s="2517" t="s">
        <v>2301</v>
      </c>
      <c r="IR10" s="2517" t="s">
        <v>2301</v>
      </c>
      <c r="IS10" s="2517" t="s">
        <v>2301</v>
      </c>
      <c r="IT10" s="2517" t="s">
        <v>3003</v>
      </c>
      <c r="IU10" s="2517" t="s">
        <v>3003</v>
      </c>
      <c r="IV10" s="2517" t="s">
        <v>3003</v>
      </c>
      <c r="IW10" s="2517" t="s">
        <v>3003</v>
      </c>
      <c r="IX10" s="2517" t="s">
        <v>3003</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6416</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3.9" customHeight="1">
      <c r="A18" s="110" t="str">
        <f t="shared" si="0"/>
        <v/>
      </c>
      <c r="B18" s="1423">
        <v>50</v>
      </c>
      <c r="C18" s="1388">
        <v>1</v>
      </c>
      <c r="D18" s="2304">
        <v>1</v>
      </c>
      <c r="E18" s="1389">
        <v>3</v>
      </c>
      <c r="F18" s="1389">
        <v>704</v>
      </c>
      <c r="G18" s="1389">
        <v>594</v>
      </c>
      <c r="H18" s="1389">
        <v>552</v>
      </c>
      <c r="I18" s="1389">
        <v>0</v>
      </c>
      <c r="J18" s="1405">
        <f>IF(C18="",0,HLOOKUP(C18,'Part IV-Utility Allowances'!$I$11:$M$22,12))</f>
        <v>97</v>
      </c>
      <c r="K18" s="1406"/>
      <c r="L18" s="1407">
        <f t="shared" si="1"/>
        <v>455</v>
      </c>
      <c r="M18" s="1407">
        <f t="shared" si="2"/>
        <v>1365</v>
      </c>
      <c r="N18" s="1408" t="s">
        <v>2654</v>
      </c>
      <c r="O18" s="2224" t="s">
        <v>6298</v>
      </c>
      <c r="P18" s="1408" t="s">
        <v>2121</v>
      </c>
      <c r="Q18" s="1409" t="s">
        <v>2654</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3</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2112</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3</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3</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3</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3</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3.9" customHeight="1">
      <c r="A19" s="110" t="str">
        <f t="shared" si="0"/>
        <v/>
      </c>
      <c r="B19" s="1424">
        <v>60</v>
      </c>
      <c r="C19" s="167">
        <v>1</v>
      </c>
      <c r="D19" s="2302">
        <v>1</v>
      </c>
      <c r="E19" s="168">
        <v>6</v>
      </c>
      <c r="F19" s="168">
        <v>704</v>
      </c>
      <c r="G19" s="168">
        <v>713</v>
      </c>
      <c r="H19" s="168">
        <v>592</v>
      </c>
      <c r="I19" s="168">
        <v>0</v>
      </c>
      <c r="J19" s="959">
        <f>IF(C19="",0,HLOOKUP(C19,'Part IV-Utility Allowances'!$I$11:$M$22,12))</f>
        <v>97</v>
      </c>
      <c r="K19" s="826"/>
      <c r="L19" s="601">
        <f t="shared" si="1"/>
        <v>495</v>
      </c>
      <c r="M19" s="601">
        <f t="shared" si="2"/>
        <v>2970</v>
      </c>
      <c r="N19" s="890" t="s">
        <v>2654</v>
      </c>
      <c r="O19" s="2222" t="s">
        <v>6298</v>
      </c>
      <c r="P19" s="890" t="s">
        <v>2121</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6</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4224</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6</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6</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f t="shared" si="259"/>
        <v>6</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6</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3.9" customHeight="1">
      <c r="A20" s="110" t="str">
        <f t="shared" si="0"/>
        <v/>
      </c>
      <c r="B20" s="1424">
        <v>70</v>
      </c>
      <c r="C20" s="167">
        <v>1</v>
      </c>
      <c r="D20" s="2302">
        <v>1</v>
      </c>
      <c r="E20" s="168">
        <v>1</v>
      </c>
      <c r="F20" s="168">
        <v>704</v>
      </c>
      <c r="G20" s="168">
        <v>832</v>
      </c>
      <c r="H20" s="168">
        <v>707</v>
      </c>
      <c r="I20" s="168">
        <v>0</v>
      </c>
      <c r="J20" s="959">
        <f>IF(C20="",0,HLOOKUP(C20,'Part IV-Utility Allowances'!$I$11:$M$22,12))</f>
        <v>97</v>
      </c>
      <c r="K20" s="826"/>
      <c r="L20" s="601">
        <f t="shared" si="1"/>
        <v>610</v>
      </c>
      <c r="M20" s="601">
        <f t="shared" si="2"/>
        <v>610</v>
      </c>
      <c r="N20" s="890" t="s">
        <v>2654</v>
      </c>
      <c r="O20" s="2222" t="s">
        <v>6298</v>
      </c>
      <c r="P20" s="890" t="s">
        <v>2121</v>
      </c>
      <c r="Q20" s="169" t="s">
        <v>2654</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f t="shared" si="9"/>
        <v>1</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f t="shared" si="124"/>
        <v>704</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f t="shared" si="214"/>
        <v>1</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f t="shared" si="259"/>
        <v>1</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1</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6421</v>
      </c>
    </row>
    <row r="21" spans="1:380" ht="13.9" customHeight="1">
      <c r="A21" s="110" t="str">
        <f t="shared" si="0"/>
        <v/>
      </c>
      <c r="B21" s="1424">
        <v>50</v>
      </c>
      <c r="C21" s="167">
        <v>2</v>
      </c>
      <c r="D21" s="2302">
        <v>2</v>
      </c>
      <c r="E21" s="168">
        <v>7</v>
      </c>
      <c r="F21" s="168">
        <v>1005</v>
      </c>
      <c r="G21" s="168">
        <v>713</v>
      </c>
      <c r="H21" s="168">
        <v>664</v>
      </c>
      <c r="I21" s="168">
        <v>0</v>
      </c>
      <c r="J21" s="959">
        <f>IF(C21="",0,HLOOKUP(C21,'Part IV-Utility Allowances'!$I$11:$M$22,12))</f>
        <v>124</v>
      </c>
      <c r="K21" s="826"/>
      <c r="L21" s="601">
        <f t="shared" si="1"/>
        <v>540</v>
      </c>
      <c r="M21" s="601">
        <f t="shared" si="2"/>
        <v>3780</v>
      </c>
      <c r="N21" s="890" t="s">
        <v>2654</v>
      </c>
      <c r="O21" s="2222" t="s">
        <v>6298</v>
      </c>
      <c r="P21" s="890" t="s">
        <v>2121</v>
      </c>
      <c r="Q21" s="169" t="s">
        <v>2654</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7</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7035</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7</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7</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f t="shared" si="260"/>
        <v>7</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7</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3.9" customHeight="1">
      <c r="A22" s="110" t="str">
        <f t="shared" si="0"/>
        <v/>
      </c>
      <c r="B22" s="1424">
        <v>60</v>
      </c>
      <c r="C22" s="167">
        <v>2</v>
      </c>
      <c r="D22" s="2302">
        <v>2</v>
      </c>
      <c r="E22" s="168">
        <v>14</v>
      </c>
      <c r="F22" s="168">
        <v>1005</v>
      </c>
      <c r="G22" s="168">
        <v>856</v>
      </c>
      <c r="H22" s="168">
        <v>709</v>
      </c>
      <c r="I22" s="168">
        <v>0</v>
      </c>
      <c r="J22" s="959">
        <f>IF(C22="",0,HLOOKUP(C22,'Part IV-Utility Allowances'!$I$11:$M$22,12))</f>
        <v>124</v>
      </c>
      <c r="K22" s="826"/>
      <c r="L22" s="601">
        <f t="shared" si="1"/>
        <v>585</v>
      </c>
      <c r="M22" s="601">
        <f t="shared" si="2"/>
        <v>8190</v>
      </c>
      <c r="N22" s="890" t="s">
        <v>2654</v>
      </c>
      <c r="O22" s="2222" t="s">
        <v>6298</v>
      </c>
      <c r="P22" s="890" t="s">
        <v>2121</v>
      </c>
      <c r="Q22" s="169" t="s">
        <v>2654</v>
      </c>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14</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14070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14</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14</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14</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14</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3.9" customHeight="1">
      <c r="A23" s="110" t="str">
        <f t="shared" si="0"/>
        <v/>
      </c>
      <c r="B23" s="1424">
        <v>70</v>
      </c>
      <c r="C23" s="167">
        <v>2</v>
      </c>
      <c r="D23" s="2302">
        <v>2</v>
      </c>
      <c r="E23" s="168">
        <v>3</v>
      </c>
      <c r="F23" s="168">
        <v>1005</v>
      </c>
      <c r="G23" s="168">
        <v>999</v>
      </c>
      <c r="H23" s="168">
        <v>824</v>
      </c>
      <c r="I23" s="168">
        <v>0</v>
      </c>
      <c r="J23" s="959">
        <f>IF(C23="",0,HLOOKUP(C23,'Part IV-Utility Allowances'!$I$11:$M$22,12))</f>
        <v>124</v>
      </c>
      <c r="K23" s="826"/>
      <c r="L23" s="601">
        <f t="shared" si="1"/>
        <v>700</v>
      </c>
      <c r="M23" s="601">
        <f t="shared" si="2"/>
        <v>2100</v>
      </c>
      <c r="N23" s="890" t="s">
        <v>2654</v>
      </c>
      <c r="O23" s="2222" t="s">
        <v>6298</v>
      </c>
      <c r="P23" s="890" t="s">
        <v>2121</v>
      </c>
      <c r="Q23" s="169" t="s">
        <v>2654</v>
      </c>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f t="shared" si="10"/>
        <v>3</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f t="shared" si="125"/>
        <v>3015</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3</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f t="shared" si="215"/>
        <v>3</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f t="shared" si="260"/>
        <v>3</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3</v>
      </c>
      <c r="MN23" s="2299">
        <f t="shared" si="336"/>
        <v>0</v>
      </c>
      <c r="MO23" s="2299">
        <f t="shared" si="337"/>
        <v>0</v>
      </c>
      <c r="MP23" s="2299">
        <f t="shared" si="328"/>
        <v>0</v>
      </c>
      <c r="MQ23" s="2299">
        <f t="shared" si="329"/>
        <v>0</v>
      </c>
      <c r="MR23" s="2299">
        <f t="shared" si="330"/>
        <v>0</v>
      </c>
      <c r="MS23" s="2299">
        <f t="shared" si="331"/>
        <v>0</v>
      </c>
      <c r="MT23" s="2299">
        <f t="shared" si="332"/>
        <v>0</v>
      </c>
      <c r="NP23" s="2259" t="s">
        <v>6424</v>
      </c>
    </row>
    <row r="24" spans="1:380" ht="13.9" customHeight="1">
      <c r="A24" s="110" t="str">
        <f t="shared" si="0"/>
        <v/>
      </c>
      <c r="B24" s="1424">
        <v>50</v>
      </c>
      <c r="C24" s="167">
        <v>3</v>
      </c>
      <c r="D24" s="2302">
        <v>2</v>
      </c>
      <c r="E24" s="168">
        <v>5</v>
      </c>
      <c r="F24" s="168">
        <v>1110</v>
      </c>
      <c r="G24" s="168">
        <v>824</v>
      </c>
      <c r="H24" s="168">
        <v>749</v>
      </c>
      <c r="I24" s="168">
        <v>0</v>
      </c>
      <c r="J24" s="959">
        <f>IF(C24="",0,HLOOKUP(C24,'Part IV-Utility Allowances'!$I$11:$M$22,12))</f>
        <v>154</v>
      </c>
      <c r="K24" s="826"/>
      <c r="L24" s="601">
        <f t="shared" si="1"/>
        <v>595</v>
      </c>
      <c r="M24" s="601">
        <f t="shared" si="2"/>
        <v>2975</v>
      </c>
      <c r="N24" s="890" t="s">
        <v>2654</v>
      </c>
      <c r="O24" s="2222" t="s">
        <v>6298</v>
      </c>
      <c r="P24" s="890" t="s">
        <v>2121</v>
      </c>
      <c r="Q24" s="169" t="s">
        <v>2654</v>
      </c>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f t="shared" si="21"/>
        <v>5</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f t="shared" si="136"/>
        <v>5550</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5</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f t="shared" si="216"/>
        <v>5</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f t="shared" si="261"/>
        <v>5</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5</v>
      </c>
      <c r="MO24" s="2299">
        <f t="shared" si="337"/>
        <v>0</v>
      </c>
      <c r="MP24" s="2299">
        <f t="shared" si="328"/>
        <v>0</v>
      </c>
      <c r="MQ24" s="2299">
        <f t="shared" si="329"/>
        <v>0</v>
      </c>
      <c r="MR24" s="2299">
        <f t="shared" si="330"/>
        <v>0</v>
      </c>
      <c r="MS24" s="2299">
        <f t="shared" si="331"/>
        <v>0</v>
      </c>
      <c r="MT24" s="2299">
        <f t="shared" si="332"/>
        <v>0</v>
      </c>
      <c r="NP24" s="2259" t="s">
        <v>6425</v>
      </c>
    </row>
    <row r="25" spans="1:380" ht="13.9" customHeight="1">
      <c r="A25" s="110" t="str">
        <f t="shared" si="0"/>
        <v/>
      </c>
      <c r="B25" s="1424">
        <v>60</v>
      </c>
      <c r="C25" s="167">
        <v>3</v>
      </c>
      <c r="D25" s="2302">
        <v>2</v>
      </c>
      <c r="E25" s="168">
        <v>10</v>
      </c>
      <c r="F25" s="168">
        <v>1110</v>
      </c>
      <c r="G25" s="168">
        <v>989</v>
      </c>
      <c r="H25" s="168">
        <v>799</v>
      </c>
      <c r="I25" s="168">
        <v>0</v>
      </c>
      <c r="J25" s="959">
        <f>IF(C25="",0,HLOOKUP(C25,'Part IV-Utility Allowances'!$I$11:$M$22,12))</f>
        <v>154</v>
      </c>
      <c r="K25" s="826"/>
      <c r="L25" s="601">
        <f t="shared" si="1"/>
        <v>645</v>
      </c>
      <c r="M25" s="601">
        <f t="shared" si="2"/>
        <v>6450</v>
      </c>
      <c r="N25" s="890" t="s">
        <v>2654</v>
      </c>
      <c r="O25" s="2222" t="s">
        <v>6298</v>
      </c>
      <c r="P25" s="890" t="s">
        <v>2121</v>
      </c>
      <c r="Q25" s="169" t="s">
        <v>2654</v>
      </c>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f t="shared" si="16"/>
        <v>10</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f t="shared" si="131"/>
        <v>11100</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f t="shared" si="171"/>
        <v>10</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f t="shared" si="216"/>
        <v>10</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f t="shared" si="261"/>
        <v>10</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10</v>
      </c>
      <c r="MO25" s="2299">
        <f t="shared" si="337"/>
        <v>0</v>
      </c>
      <c r="MP25" s="2299">
        <f t="shared" si="328"/>
        <v>0</v>
      </c>
      <c r="MQ25" s="2299">
        <f t="shared" si="329"/>
        <v>0</v>
      </c>
      <c r="MR25" s="2299">
        <f t="shared" si="330"/>
        <v>0</v>
      </c>
      <c r="MS25" s="2299">
        <f t="shared" si="331"/>
        <v>0</v>
      </c>
      <c r="MT25" s="2299">
        <f t="shared" si="332"/>
        <v>0</v>
      </c>
      <c r="NP25" s="2259" t="s">
        <v>6426</v>
      </c>
    </row>
    <row r="26" spans="1:380" ht="13.9" customHeight="1">
      <c r="A26" s="110" t="str">
        <f t="shared" si="0"/>
        <v/>
      </c>
      <c r="B26" s="1424">
        <v>70</v>
      </c>
      <c r="C26" s="167">
        <v>3</v>
      </c>
      <c r="D26" s="2302">
        <v>2</v>
      </c>
      <c r="E26" s="168">
        <v>1</v>
      </c>
      <c r="F26" s="168">
        <v>1110</v>
      </c>
      <c r="G26" s="168">
        <v>1154</v>
      </c>
      <c r="H26" s="168">
        <v>899</v>
      </c>
      <c r="I26" s="168">
        <v>0</v>
      </c>
      <c r="J26" s="959">
        <f>IF(C26="",0,HLOOKUP(C26,'Part IV-Utility Allowances'!$I$11:$M$22,12))</f>
        <v>154</v>
      </c>
      <c r="K26" s="826"/>
      <c r="L26" s="601">
        <f t="shared" si="1"/>
        <v>745</v>
      </c>
      <c r="M26" s="601">
        <f t="shared" si="2"/>
        <v>745</v>
      </c>
      <c r="N26" s="890" t="s">
        <v>2654</v>
      </c>
      <c r="O26" s="2222" t="s">
        <v>6298</v>
      </c>
      <c r="P26" s="890" t="s">
        <v>2121</v>
      </c>
      <c r="Q26" s="169" t="s">
        <v>2654</v>
      </c>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1</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1110</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1</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f t="shared" si="216"/>
        <v>1</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f t="shared" si="261"/>
        <v>1</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1</v>
      </c>
      <c r="MO26" s="2299">
        <f t="shared" si="337"/>
        <v>0</v>
      </c>
      <c r="MP26" s="2299">
        <f t="shared" si="328"/>
        <v>0</v>
      </c>
      <c r="MQ26" s="2299">
        <f t="shared" si="329"/>
        <v>0</v>
      </c>
      <c r="MR26" s="2299">
        <f t="shared" si="330"/>
        <v>0</v>
      </c>
      <c r="MS26" s="2299">
        <f t="shared" si="331"/>
        <v>0</v>
      </c>
      <c r="MT26" s="2299">
        <f t="shared" si="332"/>
        <v>0</v>
      </c>
      <c r="NP26" s="2259" t="s">
        <v>6427</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3.9" customHeight="1">
      <c r="A49" s="1826">
        <f>COUNT(A11,A12,A13,A14,A15,A16,A17,A18,A19,A20,A21,A22,A23,A24,A25,A26,A27,A28,A29,A30,A31,A32,A33,A34,A35,A36,A37,A38,A39,A40)</f>
        <v>0</v>
      </c>
      <c r="B49" s="3945" t="s">
        <v>3771</v>
      </c>
      <c r="C49" s="3946"/>
      <c r="D49" s="139" t="s">
        <v>955</v>
      </c>
      <c r="E49" s="1418">
        <f>SUM(E11:E48)</f>
        <v>50</v>
      </c>
      <c r="F49" s="1416">
        <f>(E11*F11+E12*F12+E13*F13+E14*F14+E15*F15+E16*F16+E17*F17+E18*F18+E19*F19+E20*F20+E21*F21+E22*F22+E23*F23+E24*F24+E25*F25+E26*F26+E27*F27+E28*F28+E29*F29+E30*F30+E31*F31+E32*F32+E33*F33+E34*F34+E35*F35+E36*F36+E37*F37+E38*F38+E39*F39+E40*F40+E41*F41+E42*F42+E43*F43+E44*F44+E45*F45+E46*F46+E47*F47+E48*F48)</f>
        <v>48920</v>
      </c>
      <c r="H49" s="3879" t="s">
        <v>3768</v>
      </c>
      <c r="I49" s="1419" t="s">
        <v>3769</v>
      </c>
      <c r="J49" s="1420" t="str">
        <f>IF(P67=0,"",IF(SUM(P58:P62)/P67&gt;=0.4,"Pass","Fail"))</f>
        <v>Pass</v>
      </c>
      <c r="K49" s="585"/>
      <c r="L49" s="894" t="s">
        <v>1226</v>
      </c>
      <c r="M49" s="124">
        <f>SUM(M11:M48)</f>
        <v>29185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1</v>
      </c>
      <c r="AE49" s="2300">
        <f t="shared" si="339"/>
        <v>3</v>
      </c>
      <c r="AF49" s="2300">
        <f t="shared" si="339"/>
        <v>1</v>
      </c>
      <c r="AG49" s="2300">
        <f t="shared" si="339"/>
        <v>0</v>
      </c>
      <c r="AH49" s="2300">
        <f t="shared" si="339"/>
        <v>0</v>
      </c>
      <c r="AI49" s="2300">
        <f t="shared" si="339"/>
        <v>6</v>
      </c>
      <c r="AJ49" s="2300">
        <f t="shared" si="339"/>
        <v>14</v>
      </c>
      <c r="AK49" s="2300">
        <f t="shared" si="339"/>
        <v>10</v>
      </c>
      <c r="AL49" s="2300">
        <f t="shared" si="339"/>
        <v>0</v>
      </c>
      <c r="AM49" s="2300">
        <f>SUM(AM11:AM48)</f>
        <v>0</v>
      </c>
      <c r="AN49" s="2300">
        <f>SUM(AN11:AN48)</f>
        <v>3</v>
      </c>
      <c r="AO49" s="2300">
        <f>SUM(AO11:AO48)</f>
        <v>7</v>
      </c>
      <c r="AP49" s="2300">
        <f>SUM(AP11:AP48)</f>
        <v>5</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704</v>
      </c>
      <c r="EP49" s="2300">
        <f t="shared" si="342"/>
        <v>3015</v>
      </c>
      <c r="EQ49" s="2300">
        <f t="shared" si="342"/>
        <v>1110</v>
      </c>
      <c r="ER49" s="2300">
        <f t="shared" si="342"/>
        <v>0</v>
      </c>
      <c r="ES49" s="2300">
        <f t="shared" si="342"/>
        <v>0</v>
      </c>
      <c r="ET49" s="2300">
        <f t="shared" si="342"/>
        <v>4224</v>
      </c>
      <c r="EU49" s="2300">
        <f t="shared" si="342"/>
        <v>14070</v>
      </c>
      <c r="EV49" s="2300">
        <f t="shared" si="342"/>
        <v>11100</v>
      </c>
      <c r="EW49" s="2300">
        <f t="shared" si="342"/>
        <v>0</v>
      </c>
      <c r="EX49" s="2300">
        <f t="shared" si="338"/>
        <v>0</v>
      </c>
      <c r="EY49" s="2300">
        <f t="shared" si="338"/>
        <v>2112</v>
      </c>
      <c r="EZ49" s="2300">
        <f t="shared" si="338"/>
        <v>7035</v>
      </c>
      <c r="FA49" s="2300">
        <f t="shared" si="338"/>
        <v>5550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10</v>
      </c>
      <c r="GI49" s="2300">
        <f t="shared" si="343"/>
        <v>24</v>
      </c>
      <c r="GJ49" s="2300">
        <f t="shared" si="343"/>
        <v>16</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10</v>
      </c>
      <c r="IB49" s="2300">
        <f t="shared" si="344"/>
        <v>24</v>
      </c>
      <c r="IC49" s="2300">
        <f t="shared" si="344"/>
        <v>16</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10</v>
      </c>
      <c r="JU49" s="2300">
        <f t="shared" si="344"/>
        <v>24</v>
      </c>
      <c r="JV49" s="2300">
        <f t="shared" si="344"/>
        <v>16</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10</v>
      </c>
      <c r="MM49" s="2300">
        <f t="shared" si="350"/>
        <v>24</v>
      </c>
      <c r="MN49" s="2300">
        <f t="shared" si="350"/>
        <v>16</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3.9" customHeight="1">
      <c r="B50" s="3949">
        <f>IF(SUM(E18:E48)=0,"",(B18*E18+B19*E19+B20*E20+B21*E21+B22*E22+B23*E23+B24*E24+B25*E25+B26*E26+B27*E27+B28*E28+B29*E29+B30*E30+B31*E31+B32*E32+B33*E33+B34*E34+B35*E35+B36*E36+B37*E37+B38*E38+B39*E39+B40*E40+B41*E41+B42*E42+B43*E43+B44*E44+B45*E45+B46*E46+B47*E47+B48*E48)/SUM(E18:E48))</f>
        <v>58</v>
      </c>
      <c r="C50" s="3950"/>
      <c r="D50" s="1383" t="s">
        <v>3678</v>
      </c>
      <c r="E50" s="1415">
        <f>SUM(E18:E48)</f>
        <v>50</v>
      </c>
      <c r="F50" s="1417">
        <f>(E18*F18+E19*F19+E20*F20+E21*F21+E22*F22+E23*F23+E24*F24+E25*F25+E26*F26+E27*F27+E28*F28+E29*F29+E30*F30+E31*F31+E32*F32+E33*F33+E34*F34+E35*F35+E36*F36+E37*F37+E38*F38+E39*F39+E40*F40+E41*F41+E42*F42+E43*F43+E44*F44+E45*F45+E46*F46+E47*F47+E48*F48)</f>
        <v>48920</v>
      </c>
      <c r="H50" s="3880"/>
      <c r="I50" s="1421" t="s">
        <v>3770</v>
      </c>
      <c r="J50" s="1422" t="str">
        <f>IF(P67=0,"",IF(SUM(P59:P62)/P67&gt;=0.2,"Pass","Fail"))</f>
        <v>Pass</v>
      </c>
      <c r="K50" s="585"/>
      <c r="L50" s="139" t="s">
        <v>757</v>
      </c>
      <c r="M50" s="124">
        <f>M49*12</f>
        <v>350220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976" t="s">
        <v>2409</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6649</v>
      </c>
      <c r="O53" s="3951" t="s">
        <v>3817</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881" t="s">
        <v>6908</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6498</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4080</v>
      </c>
      <c r="B56" s="386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974" t="s">
        <v>3188</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3680</v>
      </c>
      <c r="I57" s="36"/>
      <c r="J57" s="83"/>
      <c r="K57" s="1432">
        <f>AC49</f>
        <v>0</v>
      </c>
      <c r="L57" s="1433">
        <f>AD49</f>
        <v>1</v>
      </c>
      <c r="M57" s="1433">
        <f>AE49</f>
        <v>3</v>
      </c>
      <c r="N57" s="1433">
        <f>AF49</f>
        <v>1</v>
      </c>
      <c r="O57" s="1434">
        <f>AG49</f>
        <v>0</v>
      </c>
      <c r="P57" s="946">
        <f t="shared" si="351"/>
        <v>5</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6</v>
      </c>
      <c r="M58" s="1433">
        <f>AJ49</f>
        <v>14</v>
      </c>
      <c r="N58" s="1433">
        <f>AK49</f>
        <v>10</v>
      </c>
      <c r="O58" s="1434">
        <f>AL49</f>
        <v>0</v>
      </c>
      <c r="P58" s="946">
        <f t="shared" si="351"/>
        <v>30</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3</v>
      </c>
      <c r="M59" s="1454">
        <f>AO49</f>
        <v>7</v>
      </c>
      <c r="N59" s="1454">
        <f>AP49</f>
        <v>5</v>
      </c>
      <c r="O59" s="1455">
        <f>AQ49</f>
        <v>0</v>
      </c>
      <c r="P59" s="606">
        <f t="shared" si="351"/>
        <v>15</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3681</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3682</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3683</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3765</v>
      </c>
      <c r="D63" s="1"/>
      <c r="E63" s="1"/>
      <c r="F63" s="1"/>
      <c r="G63" s="83"/>
      <c r="H63" s="90"/>
      <c r="I63" s="55"/>
      <c r="J63" s="83"/>
      <c r="K63" s="1397">
        <f>SUM(K56:K62)</f>
        <v>0</v>
      </c>
      <c r="L63" s="1397">
        <f>SUM(L56:L62)</f>
        <v>10</v>
      </c>
      <c r="M63" s="1397">
        <f>SUM(M56:M62)</f>
        <v>24</v>
      </c>
      <c r="N63" s="1397">
        <f>SUM(N56:N62)</f>
        <v>16</v>
      </c>
      <c r="O63" s="1397">
        <f>SUM(O56:O62)</f>
        <v>0</v>
      </c>
      <c r="P63" s="1397">
        <f t="shared" si="351"/>
        <v>50</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10</v>
      </c>
      <c r="M65" s="1404">
        <f>SUM(M63:M64)</f>
        <v>24</v>
      </c>
      <c r="N65" s="1404">
        <f>SUM(N63:N64)</f>
        <v>16</v>
      </c>
      <c r="O65" s="1404">
        <f>SUM(O63:O64)</f>
        <v>0</v>
      </c>
      <c r="P65" s="1404">
        <f t="shared" si="351"/>
        <v>50</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2310</v>
      </c>
      <c r="I66" s="36"/>
      <c r="J66" s="83"/>
      <c r="K66" s="947">
        <f>ED49</f>
        <v>0</v>
      </c>
      <c r="L66" s="947">
        <f>EE49</f>
        <v>0</v>
      </c>
      <c r="M66" s="947">
        <f>EF49</f>
        <v>0</v>
      </c>
      <c r="N66" s="947">
        <f>EG49</f>
        <v>0</v>
      </c>
      <c r="O66" s="947">
        <f>EH49</f>
        <v>0</v>
      </c>
      <c r="P66" s="947">
        <f t="shared" si="351"/>
        <v>0</v>
      </c>
      <c r="Q66" s="509" t="s">
        <v>3189</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10</v>
      </c>
      <c r="M67" s="1396">
        <f>SUM(M65:M66)</f>
        <v>24</v>
      </c>
      <c r="N67" s="1396">
        <f>SUM(N65:N66)</f>
        <v>16</v>
      </c>
      <c r="O67" s="1396">
        <f>SUM(O65:O66)</f>
        <v>0</v>
      </c>
      <c r="P67" s="1396">
        <f t="shared" si="351"/>
        <v>50</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3774</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1"/>
      <c r="B70" s="3861"/>
      <c r="C70" s="3944"/>
      <c r="D70" s="3944"/>
      <c r="E70" s="3944"/>
      <c r="F70" s="3944"/>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6492</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4073</v>
      </c>
      <c r="E73" s="3978"/>
      <c r="F73" s="3978"/>
      <c r="G73" s="8"/>
      <c r="H73" s="1836" t="s">
        <v>3680</v>
      </c>
      <c r="I73" s="1790"/>
      <c r="J73" s="1"/>
      <c r="K73" s="1830" t="str">
        <f t="shared" ref="K73:P73" si="354">IF(OR(K57=0,K67=0),"",K57/K67)</f>
        <v/>
      </c>
      <c r="L73" s="1831">
        <f t="shared" si="354"/>
        <v>0.1</v>
      </c>
      <c r="M73" s="1831">
        <f t="shared" si="354"/>
        <v>0.125</v>
      </c>
      <c r="N73" s="1831">
        <f t="shared" si="354"/>
        <v>6.25E-2</v>
      </c>
      <c r="O73" s="1831" t="str">
        <f t="shared" si="354"/>
        <v/>
      </c>
      <c r="P73" s="1832">
        <f t="shared" si="354"/>
        <v>0.1</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6491</v>
      </c>
      <c r="I74" s="1790"/>
      <c r="J74" s="1"/>
      <c r="K74" s="1921" t="str">
        <f>IF(OR(K57=0,P73="",K67=0),"",P73*K67)</f>
        <v/>
      </c>
      <c r="L74" s="1921">
        <f>IF(OR(L57=0,P73="",L67=0),"",P73*L67)</f>
        <v>1</v>
      </c>
      <c r="M74" s="1921">
        <f>IF(OR(M57=0,P73="",M67=0),"",P73*M67)</f>
        <v>2.4000000000000004</v>
      </c>
      <c r="N74" s="1921">
        <f>IF(OR(N57=0,P73="",N67=0),"",P73*N67)</f>
        <v>1.6</v>
      </c>
      <c r="O74" s="1921" t="str">
        <f>IF(OR(O57=0,P73="",O67=0),"",P73*O67)</f>
        <v/>
      </c>
      <c r="P74" s="1922">
        <f>IF(OR(P73="",P67=0),"",P73*P67)</f>
        <v>5</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6492</v>
      </c>
      <c r="I75" s="1792"/>
      <c r="J75" s="1"/>
      <c r="K75" s="1923" t="str">
        <f t="shared" ref="K75:P75" si="355">IF(OR(K74="",K57=0),"", K57-K74)</f>
        <v/>
      </c>
      <c r="L75" s="1923">
        <f t="shared" si="355"/>
        <v>0</v>
      </c>
      <c r="M75" s="1923">
        <f t="shared" si="355"/>
        <v>0.59999999999999964</v>
      </c>
      <c r="N75" s="1923">
        <f t="shared" si="355"/>
        <v>-0.60000000000000009</v>
      </c>
      <c r="O75" s="1923" t="str">
        <f t="shared" si="355"/>
        <v/>
      </c>
      <c r="P75" s="1923">
        <f t="shared" si="355"/>
        <v>0</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978"/>
      <c r="E76" s="3978"/>
      <c r="F76" s="3978"/>
      <c r="G76" s="8"/>
      <c r="H76" s="1836" t="s">
        <v>1082</v>
      </c>
      <c r="I76" s="1790"/>
      <c r="J76" s="1"/>
      <c r="K76" s="1830" t="str">
        <f t="shared" ref="K76:P76" si="356">IF(OR(K58=0,K67=0),"",K58/K67)</f>
        <v/>
      </c>
      <c r="L76" s="1831">
        <f t="shared" si="356"/>
        <v>0.6</v>
      </c>
      <c r="M76" s="1831">
        <f t="shared" si="356"/>
        <v>0.58333333333333337</v>
      </c>
      <c r="N76" s="1831">
        <f t="shared" si="356"/>
        <v>0.625</v>
      </c>
      <c r="O76" s="1831" t="str">
        <f t="shared" si="356"/>
        <v/>
      </c>
      <c r="P76" s="1832">
        <f t="shared" si="356"/>
        <v>0.6</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6491</v>
      </c>
      <c r="I77" s="1790"/>
      <c r="J77" s="1"/>
      <c r="K77" s="1921" t="str">
        <f>IF(OR(K58=0,P76="",K67=0),"",P76*K67)</f>
        <v/>
      </c>
      <c r="L77" s="1921">
        <f>IF(OR(L58=0,P76="",L67=0),"",P76*L67)</f>
        <v>6</v>
      </c>
      <c r="M77" s="1921">
        <f>IF(OR(M58=0,P76="",M67=0),"",P76*M67)</f>
        <v>14.399999999999999</v>
      </c>
      <c r="N77" s="1921">
        <f>IF(OR(N58=0,P76="",N67=0),"",P76*N67)</f>
        <v>9.6</v>
      </c>
      <c r="O77" s="1921" t="str">
        <f>IF(OR(O58=0,P76="",O67=0),"",P76*O67)</f>
        <v/>
      </c>
      <c r="P77" s="1922">
        <f>IF(OR(P76="",P67=0),"",P76*P67)</f>
        <v>30</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6492</v>
      </c>
      <c r="I78" s="1792"/>
      <c r="J78" s="1"/>
      <c r="K78" s="1923" t="str">
        <f t="shared" ref="K78:P78" si="357">IF(OR(K77="",K58=0),"", K58-K77)</f>
        <v/>
      </c>
      <c r="L78" s="1923">
        <f t="shared" si="357"/>
        <v>0</v>
      </c>
      <c r="M78" s="1923">
        <f t="shared" si="357"/>
        <v>-0.39999999999999858</v>
      </c>
      <c r="N78" s="1923">
        <f t="shared" si="357"/>
        <v>0.40000000000000036</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0.3</v>
      </c>
      <c r="M79" s="1831">
        <f t="shared" si="358"/>
        <v>0.29166666666666669</v>
      </c>
      <c r="N79" s="1831">
        <f t="shared" si="358"/>
        <v>0.3125</v>
      </c>
      <c r="O79" s="1831" t="str">
        <f t="shared" si="358"/>
        <v/>
      </c>
      <c r="P79" s="1832">
        <f t="shared" si="358"/>
        <v>0.3</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3</v>
      </c>
      <c r="M80" s="1921">
        <f>IF(OR(M59=0,P79="",M67=0),"",P79*M67)</f>
        <v>7.1999999999999993</v>
      </c>
      <c r="N80" s="1921">
        <f>IF(OR(N59=0,P79="",N67=0),"",P79*N67)</f>
        <v>4.8</v>
      </c>
      <c r="O80" s="1921" t="str">
        <f>IF(OR(O59=0,P79="",O67=0),"",P79*O67)</f>
        <v/>
      </c>
      <c r="P80" s="1922">
        <f>IF(OR(P79="",P67=0),"",P79*P67)</f>
        <v>15</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9">IF(OR(K80="",K59=0),"", K59-K80)</f>
        <v/>
      </c>
      <c r="L81" s="1923">
        <f t="shared" si="359"/>
        <v>0</v>
      </c>
      <c r="M81" s="1923">
        <f t="shared" si="359"/>
        <v>-0.19999999999999929</v>
      </c>
      <c r="N81" s="1923">
        <f t="shared" si="359"/>
        <v>0.20000000000000018</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76" t="str">
        <f>$O$53</f>
        <v>Income Averaging</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2121</v>
      </c>
      <c r="F113" s="1"/>
      <c r="G113" s="83"/>
      <c r="H113" s="111" t="s">
        <v>1344</v>
      </c>
      <c r="I113" s="36"/>
      <c r="J113" s="83"/>
      <c r="K113" s="1429">
        <f>GG49</f>
        <v>0</v>
      </c>
      <c r="L113" s="1430">
        <f>GH49</f>
        <v>10</v>
      </c>
      <c r="M113" s="1430">
        <f>GI49</f>
        <v>24</v>
      </c>
      <c r="N113" s="1430">
        <f>GJ49</f>
        <v>16</v>
      </c>
      <c r="O113" s="1431">
        <f>GK49</f>
        <v>0</v>
      </c>
      <c r="P113" s="950">
        <f t="shared" ref="P113:P123" si="368">SUM(K113:O113)</f>
        <v>50</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10</v>
      </c>
      <c r="M115" s="1398">
        <f>SUM(M113:M114)+GS49</f>
        <v>24</v>
      </c>
      <c r="N115" s="1398">
        <f>SUM(N113:N114)+GT49</f>
        <v>16</v>
      </c>
      <c r="O115" s="1398">
        <f>SUM(O113:O114)+GU49</f>
        <v>0</v>
      </c>
      <c r="P115" s="1398">
        <f t="shared" si="368"/>
        <v>50</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3022</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6496</v>
      </c>
      <c r="D127" s="3953"/>
      <c r="E127" s="1165" t="s">
        <v>36</v>
      </c>
      <c r="F127" s="973"/>
      <c r="G127" s="1166"/>
      <c r="H127" s="1839"/>
      <c r="I127" s="1167"/>
      <c r="J127" s="1168"/>
      <c r="K127" s="1450">
        <f t="shared" ref="K127:P127" si="369">SUM(K128:K135)</f>
        <v>0</v>
      </c>
      <c r="L127" s="1451">
        <f t="shared" si="369"/>
        <v>10</v>
      </c>
      <c r="M127" s="1451">
        <f t="shared" si="369"/>
        <v>24</v>
      </c>
      <c r="N127" s="1451">
        <f t="shared" si="369"/>
        <v>16</v>
      </c>
      <c r="O127" s="1452">
        <f t="shared" si="369"/>
        <v>0</v>
      </c>
      <c r="P127" s="1401">
        <f t="shared" si="369"/>
        <v>50</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6298</v>
      </c>
      <c r="I128" s="878"/>
      <c r="J128" s="1169"/>
      <c r="K128" s="1432">
        <f>JS49</f>
        <v>0</v>
      </c>
      <c r="L128" s="1433">
        <f>JT49</f>
        <v>10</v>
      </c>
      <c r="M128" s="1433">
        <f>JU49</f>
        <v>24</v>
      </c>
      <c r="N128" s="1433">
        <f>JV49</f>
        <v>16</v>
      </c>
      <c r="O128" s="1434">
        <f>JW49</f>
        <v>0</v>
      </c>
      <c r="P128" s="946">
        <f t="shared" ref="P128:P143" si="370">SUM(K128:O128)</f>
        <v>50</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6483</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6300</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6490</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6485</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6486</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6294</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76" t="str">
        <f>$O$53</f>
        <v>Income Averaging</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6497</v>
      </c>
      <c r="D147" s="395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2996</v>
      </c>
      <c r="F151" s="509"/>
      <c r="G151" s="153"/>
      <c r="H151" s="1833"/>
      <c r="I151" s="878"/>
      <c r="J151" s="1169"/>
      <c r="K151" s="1465">
        <f>K128+K132</f>
        <v>0</v>
      </c>
      <c r="L151" s="1466">
        <f t="shared" ref="L151:O151" si="375">L128+L132</f>
        <v>10</v>
      </c>
      <c r="M151" s="1466">
        <f t="shared" si="375"/>
        <v>24</v>
      </c>
      <c r="N151" s="1466">
        <f t="shared" si="375"/>
        <v>16</v>
      </c>
      <c r="O151" s="1467">
        <f t="shared" si="375"/>
        <v>0</v>
      </c>
      <c r="P151" s="2227">
        <f t="shared" si="373"/>
        <v>50</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704</v>
      </c>
      <c r="M158" s="1469">
        <f>EP49</f>
        <v>3015</v>
      </c>
      <c r="N158" s="1469">
        <f>EQ49</f>
        <v>1110</v>
      </c>
      <c r="O158" s="1470">
        <f>ER49</f>
        <v>0</v>
      </c>
      <c r="P158" s="1393">
        <f t="shared" si="379"/>
        <v>4829</v>
      </c>
      <c r="Q158" s="1626">
        <f t="shared" si="380"/>
        <v>965.8</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4224</v>
      </c>
      <c r="M159" s="1469">
        <f>EU49</f>
        <v>14070</v>
      </c>
      <c r="N159" s="1469">
        <f>EV49</f>
        <v>11100</v>
      </c>
      <c r="O159" s="1470">
        <f>EW49</f>
        <v>0</v>
      </c>
      <c r="P159" s="1393">
        <f t="shared" si="379"/>
        <v>29394</v>
      </c>
      <c r="Q159" s="1626">
        <f t="shared" si="380"/>
        <v>979.8</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2112</v>
      </c>
      <c r="M160" s="1550">
        <f>EZ49</f>
        <v>7035</v>
      </c>
      <c r="N160" s="1550">
        <f>FA49</f>
        <v>5550</v>
      </c>
      <c r="O160" s="1551">
        <f>FB49</f>
        <v>0</v>
      </c>
      <c r="P160" s="1552">
        <f t="shared" si="379"/>
        <v>14697</v>
      </c>
      <c r="Q160" s="1626">
        <f t="shared" si="380"/>
        <v>979.8</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7040</v>
      </c>
      <c r="M164" s="2229">
        <f>SUM(M157:M163)</f>
        <v>24120</v>
      </c>
      <c r="N164" s="2229">
        <f>SUM(N157:N163)</f>
        <v>17760</v>
      </c>
      <c r="O164" s="2229">
        <f>SUM(O157:O163)</f>
        <v>0</v>
      </c>
      <c r="P164" s="2229">
        <f>SUM(K164:O164)</f>
        <v>48920</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7040</v>
      </c>
      <c r="M166" s="2228">
        <f>SUM(M164:M165)</f>
        <v>24120</v>
      </c>
      <c r="N166" s="2228">
        <f>SUM(N164:N165)</f>
        <v>17760</v>
      </c>
      <c r="O166" s="2228">
        <f>SUM(O164:O165)</f>
        <v>0</v>
      </c>
      <c r="P166" s="2228">
        <f>SUM(K166:O166)</f>
        <v>48920</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7040</v>
      </c>
      <c r="M168" s="1399">
        <f>SUM(M166:M167)</f>
        <v>24120</v>
      </c>
      <c r="N168" s="1399">
        <f>SUM(N166:N167)</f>
        <v>17760</v>
      </c>
      <c r="O168" s="1399">
        <f>SUM(O166:O167)</f>
        <v>0</v>
      </c>
      <c r="P168" s="1399">
        <f>SUM(K168:O168)</f>
        <v>48920</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704</v>
      </c>
      <c r="M171" s="1625">
        <f>IF(OR(M67="",M67=0),"",M168/M67)</f>
        <v>1005</v>
      </c>
      <c r="N171" s="1625">
        <f>IF(OR(N67="",N67=0),"",N168/N67)</f>
        <v>1110</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885">
        <v>2200</v>
      </c>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3">
        <f>P168+K174</f>
        <v>51120</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5">
        <f>'Part VI-Pro Forma'!B10*M50</f>
        <v>7004.4000000000005</v>
      </c>
      <c r="I179" s="3956"/>
      <c r="J179" s="3957"/>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24000</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1">
        <v>50000</v>
      </c>
      <c r="G221" s="3902"/>
      <c r="H221" s="1"/>
      <c r="I221" s="1" t="s">
        <v>1301</v>
      </c>
      <c r="K221" s="1"/>
      <c r="L221" s="3901"/>
      <c r="M221" s="3902"/>
      <c r="N221" s="1"/>
      <c r="O221" s="418">
        <f>+Q220/(P67*0.93)</f>
        <v>516.12903225806451</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30000</v>
      </c>
      <c r="G222" s="3926"/>
      <c r="H222" s="1"/>
      <c r="I222" s="1" t="s">
        <v>1302</v>
      </c>
      <c r="K222" s="1"/>
      <c r="L222" s="3896">
        <v>600</v>
      </c>
      <c r="M222" s="3897"/>
      <c r="N222" s="1"/>
      <c r="O222" s="418">
        <f>+Q220/(P67*0.93)/12</f>
        <v>43.01075268817204</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600</v>
      </c>
      <c r="M223" s="3916"/>
      <c r="N223" s="1"/>
      <c r="O223" s="36" t="s">
        <v>3226</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25"/>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80000</v>
      </c>
      <c r="G227" s="3916"/>
      <c r="H227" s="1"/>
      <c r="I227" s="1" t="s">
        <v>1498</v>
      </c>
      <c r="K227" s="1"/>
      <c r="L227" s="3919">
        <v>500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7000</v>
      </c>
      <c r="M228" s="3924"/>
      <c r="N228" s="3929" t="str">
        <f>IF(Q230="","",IF(Q228&lt;Q230, "WARNING! OE below required minimum.",""))</f>
        <v/>
      </c>
      <c r="O228" s="10" t="s">
        <v>2030</v>
      </c>
      <c r="P228" s="5"/>
      <c r="Q228" s="427">
        <f>F227+F236+F247+L223+L231+L241+L247+Q220</f>
        <v>224511</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500</v>
      </c>
      <c r="M229" s="3924"/>
      <c r="N229" s="3929"/>
      <c r="O229" s="66" t="s">
        <v>2488</v>
      </c>
      <c r="P229" s="418">
        <f>+Q228/P67</f>
        <v>4490.22</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1950</v>
      </c>
      <c r="G230" s="3902"/>
      <c r="H230" s="1"/>
      <c r="I230" s="3934" t="s">
        <v>46</v>
      </c>
      <c r="J230" s="3935"/>
      <c r="K230" s="3936"/>
      <c r="L230" s="3927"/>
      <c r="M230" s="3928"/>
      <c r="N230" s="3929"/>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162500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3000</v>
      </c>
      <c r="G231" s="3926"/>
      <c r="H231" s="1"/>
      <c r="I231" s="10"/>
      <c r="K231" s="11" t="s">
        <v>184</v>
      </c>
      <c r="L231" s="3906">
        <f>SUM(L227:L230)</f>
        <v>8000</v>
      </c>
      <c r="M231" s="3933"/>
      <c r="N231" s="3929"/>
      <c r="O231" s="3905" t="s">
        <v>6729</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5"/>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v>6000</v>
      </c>
      <c r="G234" s="3926"/>
      <c r="H234" s="1"/>
      <c r="I234" s="10" t="s">
        <v>1298</v>
      </c>
      <c r="K234" s="1036" t="s">
        <v>3888</v>
      </c>
      <c r="O234" s="1658" t="s">
        <v>3088</v>
      </c>
      <c r="P234" s="10"/>
      <c r="Q234" s="1176">
        <f>Q243</f>
        <v>12500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46</v>
      </c>
      <c r="C235" s="3931"/>
      <c r="D235" s="3931"/>
      <c r="E235" s="3932"/>
      <c r="F235" s="3896"/>
      <c r="G235" s="3897"/>
      <c r="H235" s="1"/>
      <c r="I235" s="1" t="s">
        <v>1291</v>
      </c>
      <c r="K235" s="477">
        <f>L235/12/P67</f>
        <v>12.5</v>
      </c>
      <c r="L235" s="3919">
        <v>7500</v>
      </c>
      <c r="M235" s="3920"/>
      <c r="N235" s="3910" t="str">
        <f>IF(Q234&lt;Q243, "WARNING! RR proposed is below the DCA required minimum.","")</f>
        <v/>
      </c>
      <c r="O235" s="978" t="s">
        <v>3887</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10950</v>
      </c>
      <c r="G236" s="3916"/>
      <c r="H236" s="1"/>
      <c r="I236" s="1" t="s">
        <v>1292</v>
      </c>
      <c r="K236" s="477">
        <f>L236/12/P67</f>
        <v>0</v>
      </c>
      <c r="L236" s="3923"/>
      <c r="M236" s="3924"/>
      <c r="N236" s="3911"/>
      <c r="O236" s="3912" t="s">
        <v>3233</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5</v>
      </c>
      <c r="L237" s="3923">
        <v>3000</v>
      </c>
      <c r="M237" s="3924"/>
      <c r="N237" s="3911"/>
      <c r="O237" s="972" t="s">
        <v>2465</v>
      </c>
      <c r="P237" s="853" t="s">
        <v>3286</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8.3333333333333339</v>
      </c>
      <c r="L238" s="3923">
        <v>5000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2500</v>
      </c>
      <c r="G239" s="3918"/>
      <c r="H239" s="1"/>
      <c r="I239" s="94" t="s">
        <v>6689</v>
      </c>
      <c r="K239" s="477">
        <f>L239/12/P67</f>
        <v>0</v>
      </c>
      <c r="L239" s="3923"/>
      <c r="M239" s="3924"/>
      <c r="N239" s="3911"/>
      <c r="O239" s="508" t="s">
        <v>3054</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9000</v>
      </c>
      <c r="G240" s="3922"/>
      <c r="H240" s="1"/>
      <c r="I240" s="3939" t="s">
        <v>6987</v>
      </c>
      <c r="J240" s="3940"/>
      <c r="K240" s="477">
        <f>L240/12/P67</f>
        <v>3.333333333333333</v>
      </c>
      <c r="L240" s="3927">
        <v>2000</v>
      </c>
      <c r="M240" s="3928"/>
      <c r="N240" s="3911"/>
      <c r="O240" s="508" t="s">
        <v>3053</v>
      </c>
      <c r="P240" s="858" t="str">
        <f>CONCATENATE(SUM(MK49:MO49)," units x $",'DCA Underwriting Assumptions'!$Q$29," =")</f>
        <v>50 units x $250 =</v>
      </c>
      <c r="Q240" s="647">
        <f>SUM(MK49:MO49)*'DCA Underwriting Assumptions'!$Q$29</f>
        <v>12500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16000</v>
      </c>
      <c r="G241" s="3922"/>
      <c r="H241" s="1"/>
      <c r="K241" s="11" t="s">
        <v>184</v>
      </c>
      <c r="L241" s="3906">
        <f>SUM(L235:L240)</f>
        <v>17500</v>
      </c>
      <c r="M241" s="3933"/>
      <c r="N241" s="3911"/>
      <c r="O241" s="648" t="s">
        <v>6503</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7000</v>
      </c>
      <c r="G242" s="3926"/>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1200</v>
      </c>
      <c r="G243" s="3926"/>
      <c r="H243" s="1"/>
      <c r="I243" s="10" t="s">
        <v>1299</v>
      </c>
      <c r="O243" s="975" t="s">
        <v>2468</v>
      </c>
      <c r="P243" s="976">
        <f>SUM(MF49:MJ49)+SUM(MK49:MO49)+SUM(MP49:MT49)+P125</f>
        <v>50</v>
      </c>
      <c r="Q243" s="977">
        <f>SUM(Q239:Q242)</f>
        <v>12500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c r="G244" s="3926"/>
      <c r="H244" s="1"/>
      <c r="I244" s="94" t="s">
        <v>3934</v>
      </c>
      <c r="K244" s="1"/>
      <c r="L244" s="3919">
        <v>18878</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1000</v>
      </c>
      <c r="G245" s="3926"/>
      <c r="H245" s="1"/>
      <c r="I245" s="1" t="s">
        <v>140</v>
      </c>
      <c r="K245" s="1"/>
      <c r="L245" s="3923">
        <v>27883</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46</v>
      </c>
      <c r="J246" s="3935"/>
      <c r="K246" s="3936"/>
      <c r="L246" s="3937"/>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36700</v>
      </c>
      <c r="G247" s="3909"/>
      <c r="H247" s="1"/>
      <c r="K247" s="11" t="s">
        <v>184</v>
      </c>
      <c r="L247" s="3906">
        <f>SUM(L243:L246)</f>
        <v>46761</v>
      </c>
      <c r="M247" s="3907"/>
      <c r="N247" s="1"/>
      <c r="O247" s="10" t="s">
        <v>2031</v>
      </c>
      <c r="P247" s="1"/>
      <c r="Q247" s="427">
        <f>Q228+Q234</f>
        <v>237011</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971"/>
      <c r="L251" s="3972"/>
      <c r="M251" s="1619" t="s">
        <v>3905</v>
      </c>
      <c r="N251" s="1548"/>
      <c r="O251" s="10" t="s">
        <v>3880</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60"/>
    </row>
    <row r="256" spans="1:493" ht="409.5" customHeight="1">
      <c r="A256" s="3904" t="s">
        <v>6988</v>
      </c>
      <c r="B256" s="3904"/>
      <c r="C256" s="3904"/>
      <c r="D256" s="3904"/>
      <c r="E256" s="3904"/>
      <c r="F256" s="3904"/>
      <c r="G256" s="3904"/>
      <c r="H256" s="3904"/>
      <c r="I256" s="3904"/>
      <c r="J256" s="3904"/>
      <c r="K256" s="3904"/>
      <c r="L256" s="3904"/>
      <c r="M256" s="3904"/>
      <c r="N256" s="3903"/>
      <c r="O256" s="3903"/>
      <c r="P256" s="3903"/>
      <c r="Q256" s="3903"/>
      <c r="R256" s="3298" t="s">
        <v>3376</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14" zoomScaleNormal="100" workbookViewId="0">
      <selection activeCell="D32" sqref="D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Cypress Reserve, Adel, Cook County</v>
      </c>
      <c r="B2" s="3990"/>
      <c r="C2" s="3990"/>
      <c r="D2" s="3990"/>
      <c r="E2" s="3990"/>
      <c r="F2" s="3990"/>
      <c r="G2" s="3990"/>
      <c r="H2" s="3990"/>
      <c r="I2" s="3990"/>
      <c r="J2" s="3990"/>
      <c r="K2" s="3991"/>
      <c r="L2" s="10"/>
      <c r="M2" s="10"/>
      <c r="N2" s="3992" t="str">
        <f>A2</f>
        <v>PART SIX - OPERATING PRO FORMA  -  2022-0 Cypress Reserve, Adel, Cook County</v>
      </c>
      <c r="O2" s="3992"/>
      <c r="P2" s="10"/>
      <c r="Z2" s="2259"/>
      <c r="AA2" s="2262">
        <v>2</v>
      </c>
    </row>
    <row r="3" spans="1:27" ht="13.5" customHeight="1">
      <c r="A3" s="502"/>
      <c r="B3" s="502"/>
      <c r="C3" s="502"/>
      <c r="D3" s="502"/>
      <c r="E3" s="502"/>
      <c r="F3" s="502"/>
      <c r="G3" s="502"/>
      <c r="H3" s="502"/>
      <c r="I3" s="502"/>
      <c r="J3" s="502"/>
      <c r="K3" s="502"/>
      <c r="N3" s="3993" t="s">
        <v>1711</v>
      </c>
      <c r="O3" s="3993"/>
      <c r="AA3" s="2263">
        <v>3</v>
      </c>
    </row>
    <row r="4" spans="1:27" ht="13.5" customHeight="1">
      <c r="A4" s="13" t="s">
        <v>85</v>
      </c>
      <c r="C4" s="3994"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94"/>
      <c r="H5" s="16"/>
      <c r="I5" s="16"/>
      <c r="AA5" s="2263">
        <v>5</v>
      </c>
    </row>
    <row r="6" spans="1:27" ht="13.5" customHeight="1">
      <c r="A6" s="16" t="s">
        <v>2032</v>
      </c>
      <c r="B6" s="77">
        <v>0.02</v>
      </c>
      <c r="C6" s="3994"/>
      <c r="D6" s="3954" t="s">
        <v>3406</v>
      </c>
      <c r="E6" s="3954"/>
      <c r="F6" s="3954"/>
      <c r="G6" s="80">
        <v>7500</v>
      </c>
      <c r="H6" s="97" t="s">
        <v>1768</v>
      </c>
      <c r="K6" s="102">
        <f>IF(($B$15+$B$16+$B$17+$B$18)=0,"",B31/($B$15+$B$16+$B$17+$B$18))</f>
        <v>-2.2575490725247931E-2</v>
      </c>
      <c r="N6" s="3893"/>
      <c r="O6" s="3895"/>
      <c r="AA6" s="2263">
        <v>6</v>
      </c>
    </row>
    <row r="7" spans="1:27">
      <c r="A7" s="16" t="s">
        <v>2033</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2035</v>
      </c>
      <c r="B8" s="77">
        <v>0.03</v>
      </c>
      <c r="C8" s="3994"/>
      <c r="D8" s="79" t="s">
        <v>258</v>
      </c>
      <c r="G8" s="82"/>
      <c r="H8" s="97" t="s">
        <v>2192</v>
      </c>
      <c r="K8" s="102">
        <f>IF(($B$15+$B$16+$B$17+$B$18)=0,"",-B22/($B$15+$B$16+$B$17+$B$18))</f>
        <v>7.2241570320793383E-2</v>
      </c>
      <c r="N8" s="3867"/>
      <c r="O8" s="3869"/>
      <c r="AA8" s="2263">
        <v>8</v>
      </c>
    </row>
    <row r="9" spans="1:27" ht="13.35" customHeight="1">
      <c r="A9" s="16" t="s">
        <v>2034</v>
      </c>
      <c r="B9" s="241">
        <v>7.0000000000000007E-2</v>
      </c>
      <c r="C9" s="1534" t="str">
        <f>IF(B9&lt;0.07, "Must be &gt;= 7%!","")</f>
        <v/>
      </c>
      <c r="D9" s="78" t="s">
        <v>2308</v>
      </c>
      <c r="G9" s="1554" t="s">
        <v>2651</v>
      </c>
      <c r="H9" s="175" t="s">
        <v>1356</v>
      </c>
      <c r="K9" s="1556">
        <v>24000</v>
      </c>
      <c r="N9" s="3867"/>
      <c r="O9" s="3869"/>
      <c r="AA9" s="2263">
        <v>9</v>
      </c>
    </row>
    <row r="10" spans="1:27">
      <c r="A10" s="16" t="s">
        <v>1337</v>
      </c>
      <c r="B10" s="77">
        <v>0.02</v>
      </c>
      <c r="D10" s="78" t="s">
        <v>1598</v>
      </c>
      <c r="G10" s="1555"/>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35" customHeight="1">
      <c r="A15" s="18" t="s">
        <v>2216</v>
      </c>
      <c r="B15" s="19">
        <f>'Part V-Revenues &amp; Expenses'!$M$50</f>
        <v>350220</v>
      </c>
      <c r="C15" s="19">
        <f t="shared" ref="C15:K15" si="1">$B$15*(1+$B$6)^(C14-1)</f>
        <v>357224.4</v>
      </c>
      <c r="D15" s="19">
        <f t="shared" si="1"/>
        <v>364368.88799999998</v>
      </c>
      <c r="E15" s="19">
        <f t="shared" si="1"/>
        <v>371656.26575999998</v>
      </c>
      <c r="F15" s="19">
        <f t="shared" si="1"/>
        <v>379089.39107519999</v>
      </c>
      <c r="G15" s="19">
        <f t="shared" si="1"/>
        <v>386671.17889670399</v>
      </c>
      <c r="H15" s="19">
        <f t="shared" si="1"/>
        <v>394404.60247463809</v>
      </c>
      <c r="I15" s="19">
        <f t="shared" si="1"/>
        <v>402292.69452413078</v>
      </c>
      <c r="J15" s="19">
        <f t="shared" si="1"/>
        <v>410338.54841461341</v>
      </c>
      <c r="K15" s="20">
        <f t="shared" si="1"/>
        <v>418545.31938290573</v>
      </c>
      <c r="N15" s="3893"/>
      <c r="O15" s="3895"/>
      <c r="S15" s="3985" t="s">
        <v>3411</v>
      </c>
      <c r="Z15" s="2259" t="s">
        <v>6467</v>
      </c>
      <c r="AA15" s="2263">
        <v>15</v>
      </c>
    </row>
    <row r="16" spans="1:27" ht="13.35" customHeight="1">
      <c r="A16" s="21" t="s">
        <v>953</v>
      </c>
      <c r="B16" s="22">
        <f>MIN(B15*B10,'Part V-Revenues &amp; Expenses'!$H$179)</f>
        <v>7004.4000000000005</v>
      </c>
      <c r="C16" s="22">
        <f t="shared" ref="C16:K16" si="2">$B$16*(1+$B$6)^(C14-1)</f>
        <v>7144.4880000000003</v>
      </c>
      <c r="D16" s="22">
        <f t="shared" si="2"/>
        <v>7287.3777600000003</v>
      </c>
      <c r="E16" s="22">
        <f t="shared" si="2"/>
        <v>7433.1253151999999</v>
      </c>
      <c r="F16" s="22">
        <f t="shared" si="2"/>
        <v>7581.787821504</v>
      </c>
      <c r="G16" s="22">
        <f t="shared" si="2"/>
        <v>7733.4235779340806</v>
      </c>
      <c r="H16" s="22">
        <f t="shared" si="2"/>
        <v>7888.0920494927623</v>
      </c>
      <c r="I16" s="22">
        <f t="shared" si="2"/>
        <v>8045.8538904826164</v>
      </c>
      <c r="J16" s="22">
        <f t="shared" si="2"/>
        <v>8206.7709682922687</v>
      </c>
      <c r="K16" s="23">
        <f t="shared" si="2"/>
        <v>8370.9063876581149</v>
      </c>
      <c r="N16" s="3867"/>
      <c r="O16" s="3869"/>
      <c r="S16" s="3986"/>
      <c r="Z16" s="2259" t="s">
        <v>6467</v>
      </c>
      <c r="AA16" s="2263">
        <v>16</v>
      </c>
    </row>
    <row r="17" spans="1:27" ht="13.35" customHeight="1">
      <c r="A17" s="21" t="s">
        <v>2217</v>
      </c>
      <c r="B17" s="22">
        <f t="shared" ref="B17:K17" si="3">-(B15+B16)*$B$9</f>
        <v>-25005.708000000002</v>
      </c>
      <c r="C17" s="22">
        <f t="shared" si="3"/>
        <v>-25505.822160000003</v>
      </c>
      <c r="D17" s="22">
        <f t="shared" si="3"/>
        <v>-26015.9386032</v>
      </c>
      <c r="E17" s="22">
        <f t="shared" si="3"/>
        <v>-26536.257375264002</v>
      </c>
      <c r="F17" s="22">
        <f t="shared" si="3"/>
        <v>-27066.982522769282</v>
      </c>
      <c r="G17" s="22">
        <f t="shared" si="3"/>
        <v>-27608.322173224667</v>
      </c>
      <c r="H17" s="22">
        <f t="shared" si="3"/>
        <v>-28160.488616689163</v>
      </c>
      <c r="I17" s="22">
        <f t="shared" si="3"/>
        <v>-28723.698389022942</v>
      </c>
      <c r="J17" s="22">
        <f t="shared" si="3"/>
        <v>-29298.172356803399</v>
      </c>
      <c r="K17" s="23">
        <f t="shared" si="3"/>
        <v>-29884.135803939469</v>
      </c>
      <c r="N17" s="3867"/>
      <c r="O17" s="3869"/>
      <c r="Q17" s="3988" t="s">
        <v>3301</v>
      </c>
      <c r="R17" s="3988" t="s">
        <v>3410</v>
      </c>
      <c r="S17" s="3986"/>
      <c r="Z17" s="2259" t="s">
        <v>6467</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6467</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6467</v>
      </c>
      <c r="AA19" s="2261">
        <v>19</v>
      </c>
    </row>
    <row r="20" spans="1:27" ht="13.35" customHeight="1">
      <c r="A20" s="447" t="s">
        <v>3842</v>
      </c>
      <c r="B20" s="22">
        <f>SUM(B15:B19)</f>
        <v>332218.69200000004</v>
      </c>
      <c r="C20" s="22">
        <f t="shared" ref="C20:K20" si="4">SUM(C15:C19)</f>
        <v>338863.06584000005</v>
      </c>
      <c r="D20" s="22">
        <f t="shared" si="4"/>
        <v>345640.32715679996</v>
      </c>
      <c r="E20" s="22">
        <f t="shared" si="4"/>
        <v>352553.13369993598</v>
      </c>
      <c r="F20" s="22">
        <f t="shared" si="4"/>
        <v>359604.19637393468</v>
      </c>
      <c r="G20" s="22">
        <f t="shared" si="4"/>
        <v>366796.28030141344</v>
      </c>
      <c r="H20" s="22">
        <f t="shared" si="4"/>
        <v>374132.20590744168</v>
      </c>
      <c r="I20" s="22">
        <f t="shared" si="4"/>
        <v>381614.85002559045</v>
      </c>
      <c r="J20" s="22">
        <f t="shared" si="4"/>
        <v>389247.14702610229</v>
      </c>
      <c r="K20" s="23">
        <f t="shared" si="4"/>
        <v>397032.08996662433</v>
      </c>
      <c r="N20" s="3867"/>
      <c r="O20" s="3869"/>
      <c r="Z20" s="2259" t="s">
        <v>6467</v>
      </c>
      <c r="AA20" s="2262">
        <v>20</v>
      </c>
    </row>
    <row r="21" spans="1:27" ht="13.35" customHeight="1">
      <c r="A21" s="21" t="s">
        <v>572</v>
      </c>
      <c r="B21" s="22">
        <f>-('Part V-Revenues &amp; Expenses'!$Q$228-'Part V-Revenues &amp; Expenses'!$Q$220)</f>
        <v>-200511</v>
      </c>
      <c r="C21" s="22">
        <f t="shared" ref="C21:K21" si="5">$B$21*(1+$B$7)^(C14-1)</f>
        <v>-206526.33000000002</v>
      </c>
      <c r="D21" s="22">
        <f t="shared" si="5"/>
        <v>-212722.11989999999</v>
      </c>
      <c r="E21" s="22">
        <f t="shared" si="5"/>
        <v>-219103.783497</v>
      </c>
      <c r="F21" s="22">
        <f t="shared" si="5"/>
        <v>-225676.89700190999</v>
      </c>
      <c r="G21" s="22">
        <f t="shared" si="5"/>
        <v>-232447.20391196726</v>
      </c>
      <c r="H21" s="22">
        <f t="shared" si="5"/>
        <v>-239420.6200293263</v>
      </c>
      <c r="I21" s="22">
        <f t="shared" si="5"/>
        <v>-246603.23863020609</v>
      </c>
      <c r="J21" s="22">
        <f t="shared" si="5"/>
        <v>-254001.33578911226</v>
      </c>
      <c r="K21" s="23">
        <f t="shared" si="5"/>
        <v>-261621.37586278564</v>
      </c>
      <c r="N21" s="3867"/>
      <c r="O21" s="3869"/>
      <c r="Q21" s="62">
        <v>1</v>
      </c>
      <c r="R21" s="1105">
        <f>-B32</f>
        <v>19407</v>
      </c>
      <c r="S21" s="1105">
        <f>B33+R21</f>
        <v>19406.896162990903</v>
      </c>
      <c r="Z21" s="2259" t="s">
        <v>6467</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-24000</v>
      </c>
      <c r="C22" s="22">
        <f>IF(AND('Part VI-Pro Forma'!$G$9="Yes",'Part VI-Pro Forma'!$G$10="Yes"),"Choose One!",IF('Part VI-Pro Forma'!$G$9="Yes",ROUND((-$K$9*(1+'Part VI-Pro Forma'!$B$7)^('Part VI-Pro Forma'!C14-1)),),IF('Part VI-Pro Forma'!$G$10="Yes",ROUND((-(SUM(C15:C18)*'Part VI-Pro Forma'!$K$10)),),"Choose mgt fee")))</f>
        <v>-24720</v>
      </c>
      <c r="D22" s="22">
        <f>IF(AND('Part VI-Pro Forma'!$G$9="Yes",'Part VI-Pro Forma'!$G$10="Yes"),"Choose One!",IF('Part VI-Pro Forma'!$G$9="Yes",ROUND((-$K$9*(1+'Part VI-Pro Forma'!$B$7)^('Part VI-Pro Forma'!D14-1)),),IF('Part VI-Pro Forma'!$G$10="Yes",ROUND((-(SUM(D15:D18)*'Part VI-Pro Forma'!$K$10)),),"Choose mgt fee")))</f>
        <v>-25462</v>
      </c>
      <c r="E22" s="22">
        <f>IF(AND('Part VI-Pro Forma'!$G$9="Yes",'Part VI-Pro Forma'!$G$10="Yes"),"Choose One!",IF('Part VI-Pro Forma'!$G$9="Yes",ROUND((-$K$9*(1+'Part VI-Pro Forma'!$B$7)^('Part VI-Pro Forma'!E14-1)),),IF('Part VI-Pro Forma'!$G$10="Yes",ROUND((-(SUM(E15:E18)*'Part VI-Pro Forma'!$K$10)),),"Choose mgt fee")))</f>
        <v>-26225</v>
      </c>
      <c r="F22" s="22">
        <f>IF(AND('Part VI-Pro Forma'!$G$9="Yes",'Part VI-Pro Forma'!$G$10="Yes"),"Choose One!",IF('Part VI-Pro Forma'!$G$9="Yes",ROUND((-$K$9*(1+'Part VI-Pro Forma'!$B$7)^('Part VI-Pro Forma'!F14-1)),),IF('Part VI-Pro Forma'!$G$10="Yes",ROUND((-(SUM(F15:F18)*'Part VI-Pro Forma'!$K$10)),),"Choose mgt fee")))</f>
        <v>-27012</v>
      </c>
      <c r="G22" s="22">
        <f>IF(AND('Part VI-Pro Forma'!$G$9="Yes",'Part VI-Pro Forma'!$G$10="Yes"),"Choose One!",IF('Part VI-Pro Forma'!$G$9="Yes",ROUND((-$K$9*(1+'Part VI-Pro Forma'!$B$7)^('Part VI-Pro Forma'!G14-1)),),IF('Part VI-Pro Forma'!$G$10="Yes",ROUND((-(SUM(G15:G18)*'Part VI-Pro Forma'!$K$10)),),"Choose mgt fee")))</f>
        <v>-27823</v>
      </c>
      <c r="H22" s="22">
        <f>IF(AND('Part VI-Pro Forma'!$G$9="Yes",'Part VI-Pro Forma'!$G$10="Yes"),"Choose One!",IF('Part VI-Pro Forma'!$G$9="Yes",ROUND((-$K$9*(1+'Part VI-Pro Forma'!$B$7)^('Part VI-Pro Forma'!H14-1)),),IF('Part VI-Pro Forma'!$G$10="Yes",ROUND((-(SUM(H15:H18)*'Part VI-Pro Forma'!$K$10)),),"Choose mgt fee")))</f>
        <v>-28657</v>
      </c>
      <c r="I22" s="22">
        <f>IF(AND('Part VI-Pro Forma'!$G$9="Yes",'Part VI-Pro Forma'!$G$10="Yes"),"Choose One!",IF('Part VI-Pro Forma'!$G$9="Yes",ROUND((-$K$9*(1+'Part VI-Pro Forma'!$B$7)^('Part VI-Pro Forma'!I14-1)),),IF('Part VI-Pro Forma'!$G$10="Yes",ROUND((-(SUM(I15:I18)*'Part VI-Pro Forma'!$K$10)),),"Choose mgt fee")))</f>
        <v>-29517</v>
      </c>
      <c r="J22" s="22">
        <f>IF(AND('Part VI-Pro Forma'!$G$9="Yes",'Part VI-Pro Forma'!$G$10="Yes"),"Choose One!",IF('Part VI-Pro Forma'!$G$9="Yes",ROUND((-$K$9*(1+'Part VI-Pro Forma'!$B$7)^('Part VI-Pro Forma'!J14-1)),),IF('Part VI-Pro Forma'!$G$10="Yes",ROUND((-(SUM(J15:J18)*'Part VI-Pro Forma'!$K$10)),),"Choose mgt fee")))</f>
        <v>-30402</v>
      </c>
      <c r="K22" s="23">
        <f>IF(AND('Part VI-Pro Forma'!$G$9="Yes",'Part VI-Pro Forma'!$G$10="Yes"),"Choose One!",IF('Part VI-Pro Forma'!$G$9="Yes",ROUND((-$K$9*(1+'Part VI-Pro Forma'!$B$7)^('Part VI-Pro Forma'!K14-1)),),IF('Part VI-Pro Forma'!$G$10="Yes",ROUND((-(SUM(K15:K18)*'Part VI-Pro Forma'!$K$10)),),"Choose mgt fee")))</f>
        <v>-31315</v>
      </c>
      <c r="N22" s="3867"/>
      <c r="O22" s="3869"/>
      <c r="Q22" s="62">
        <v>2</v>
      </c>
      <c r="R22" s="1105">
        <f>-SUM(B32:C32)</f>
        <v>38348</v>
      </c>
      <c r="S22" s="1105">
        <f>SUM(B33:C33)+R22</f>
        <v>38347.836165981804</v>
      </c>
      <c r="Z22" s="2259" t="s">
        <v>6467</v>
      </c>
      <c r="AA22" s="2263">
        <v>22</v>
      </c>
    </row>
    <row r="23" spans="1:27" ht="13.35" customHeight="1">
      <c r="A23" s="21" t="s">
        <v>1129</v>
      </c>
      <c r="B23" s="22">
        <f>-('Part V-Revenues &amp; Expenses'!$Q$234)</f>
        <v>-12500</v>
      </c>
      <c r="C23" s="22">
        <f t="shared" ref="C23:K23" si="6">$B$23*(1+$B$8)^(C14-1)</f>
        <v>-12875</v>
      </c>
      <c r="D23" s="22">
        <f t="shared" si="6"/>
        <v>-13261.25</v>
      </c>
      <c r="E23" s="22">
        <f t="shared" si="6"/>
        <v>-13659.0875</v>
      </c>
      <c r="F23" s="22">
        <f t="shared" si="6"/>
        <v>-14068.860124999999</v>
      </c>
      <c r="G23" s="22">
        <f t="shared" si="6"/>
        <v>-14490.925928749997</v>
      </c>
      <c r="H23" s="22">
        <f t="shared" si="6"/>
        <v>-14925.653706612498</v>
      </c>
      <c r="I23" s="22">
        <f t="shared" si="6"/>
        <v>-15373.423317810875</v>
      </c>
      <c r="J23" s="22">
        <f t="shared" si="6"/>
        <v>-15834.626017345199</v>
      </c>
      <c r="K23" s="23">
        <f t="shared" si="6"/>
        <v>-16309.664797865556</v>
      </c>
      <c r="N23" s="3867"/>
      <c r="O23" s="3869"/>
      <c r="Q23" s="62">
        <v>3</v>
      </c>
      <c r="R23" s="1105">
        <f>-SUM(B32:D32)</f>
        <v>38630</v>
      </c>
      <c r="S23" s="1105">
        <f>SUM(B33:D33)+R23</f>
        <v>56741.997585772639</v>
      </c>
      <c r="Z23" s="2259" t="s">
        <v>6467</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38630</v>
      </c>
      <c r="S24" s="1105">
        <f>SUM(B33:E33)+R24</f>
        <v>74506.464451699489</v>
      </c>
      <c r="Z24" s="2259" t="s">
        <v>6467</v>
      </c>
      <c r="AA24" s="2261">
        <v>24</v>
      </c>
    </row>
    <row r="25" spans="1:27" ht="13.35" customHeight="1">
      <c r="A25" s="21" t="s">
        <v>1130</v>
      </c>
      <c r="B25" s="22">
        <f>SUM(B20:B24)</f>
        <v>95207.692000000039</v>
      </c>
      <c r="C25" s="22">
        <f t="shared" ref="C25:J25" si="7">SUM(C20:C24)</f>
        <v>94741.735840000038</v>
      </c>
      <c r="D25" s="22">
        <f t="shared" si="7"/>
        <v>94194.957256799971</v>
      </c>
      <c r="E25" s="22">
        <f t="shared" si="7"/>
        <v>93565.262702935986</v>
      </c>
      <c r="F25" s="22">
        <f t="shared" si="7"/>
        <v>92846.439247024682</v>
      </c>
      <c r="G25" s="22">
        <f t="shared" si="7"/>
        <v>92035.150460696183</v>
      </c>
      <c r="H25" s="22">
        <f t="shared" si="7"/>
        <v>91128.932171502878</v>
      </c>
      <c r="I25" s="22">
        <f t="shared" si="7"/>
        <v>90121.18807757349</v>
      </c>
      <c r="J25" s="22">
        <f t="shared" si="7"/>
        <v>89009.185219644831</v>
      </c>
      <c r="K25" s="1538">
        <f>SUM(K20:K24)</f>
        <v>87786.049305973138</v>
      </c>
      <c r="N25" s="3867"/>
      <c r="O25" s="3869"/>
      <c r="Q25" s="958">
        <v>5</v>
      </c>
      <c r="R25" s="1105">
        <f>-SUM(B32:F32)</f>
        <v>38630</v>
      </c>
      <c r="S25" s="1105">
        <f>SUM(B33:F33)+R25</f>
        <v>91552.107861715034</v>
      </c>
      <c r="Z25" s="2259" t="s">
        <v>6467</v>
      </c>
      <c r="AA25" s="2262">
        <v>25</v>
      </c>
    </row>
    <row r="26" spans="1:27" ht="13.35" customHeight="1">
      <c r="A26" s="447" t="s">
        <v>1487</v>
      </c>
      <c r="B26" s="448">
        <f>IF('Part II-Sources of Funds'!$P$40="", 0,-'Part II-Sources of Funds'!$P$40)</f>
        <v>-68300.795837009136</v>
      </c>
      <c r="C26" s="448">
        <f>IF('Part II-Sources of Funds'!$P$40="", 0,-'Part II-Sources of Funds'!$P$40)</f>
        <v>-68300.795837009136</v>
      </c>
      <c r="D26" s="448">
        <f>IF('Part II-Sources of Funds'!$P$40="", 0,-'Part II-Sources of Funds'!$P$40)</f>
        <v>-68300.795837009136</v>
      </c>
      <c r="E26" s="448">
        <f>IF('Part II-Sources of Funds'!$P$40="", 0,-'Part II-Sources of Funds'!$P$40)</f>
        <v>-68300.795837009136</v>
      </c>
      <c r="F26" s="448">
        <f>IF('Part II-Sources of Funds'!$P$40="", 0,-'Part II-Sources of Funds'!$P$40)</f>
        <v>-68300.795837009136</v>
      </c>
      <c r="G26" s="448">
        <f>IF('Part II-Sources of Funds'!$P$40="", 0,-'Part II-Sources of Funds'!$P$40)</f>
        <v>-68300.795837009136</v>
      </c>
      <c r="H26" s="448">
        <f>IF('Part II-Sources of Funds'!$P$40="", 0,-'Part II-Sources of Funds'!$P$40)</f>
        <v>-68300.795837009136</v>
      </c>
      <c r="I26" s="448">
        <f>IF('Part II-Sources of Funds'!$P$40="", 0,-'Part II-Sources of Funds'!$P$40)</f>
        <v>-68300.795837009136</v>
      </c>
      <c r="J26" s="448">
        <f>IF('Part II-Sources of Funds'!$P$40="", 0,-'Part II-Sources of Funds'!$P$40)</f>
        <v>-68300.795837009136</v>
      </c>
      <c r="K26" s="448">
        <f>IF('Part II-Sources of Funds'!$P$40="", 0,-'Part II-Sources of Funds'!$P$40)</f>
        <v>-68300.795837009136</v>
      </c>
      <c r="N26" s="3867"/>
      <c r="O26" s="3869"/>
      <c r="Q26" s="958">
        <v>6</v>
      </c>
      <c r="R26" s="1105">
        <f>-SUM(B32:G32)</f>
        <v>38630</v>
      </c>
      <c r="S26" s="1105">
        <f>SUM(B33:G33)+R26</f>
        <v>107786.46248540208</v>
      </c>
      <c r="Z26" s="2259" t="s">
        <v>6467</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38630</v>
      </c>
      <c r="S27" s="1105">
        <f>SUM(B33:H33)+R27</f>
        <v>123114.59881989582</v>
      </c>
      <c r="Z27" s="2259" t="s">
        <v>6467</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38630</v>
      </c>
      <c r="S28" s="1105">
        <f>SUM(B33:I33)+R28</f>
        <v>137434.99106046016</v>
      </c>
      <c r="Z28" s="2259" t="s">
        <v>6467</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38630</v>
      </c>
      <c r="S29" s="1105">
        <f>SUM(B33:J33)+R29</f>
        <v>150643.38044309587</v>
      </c>
      <c r="Z29" s="2259" t="s">
        <v>6467</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38630</v>
      </c>
      <c r="S30" s="1105">
        <f>SUM(B33:K33)+R30</f>
        <v>162628.63391205989</v>
      </c>
      <c r="Z30" s="2259" t="s">
        <v>6467</v>
      </c>
      <c r="AA30" s="2263">
        <v>30</v>
      </c>
    </row>
    <row r="31" spans="1:27" ht="13.35" customHeight="1">
      <c r="A31" s="447" t="s">
        <v>1096</v>
      </c>
      <c r="B31" s="1164">
        <f>-$G$6</f>
        <v>-7500</v>
      </c>
      <c r="C31" s="1164">
        <f t="shared" ref="C31:K31" si="8">+B31</f>
        <v>-7500</v>
      </c>
      <c r="D31" s="1164">
        <f t="shared" si="8"/>
        <v>-7500</v>
      </c>
      <c r="E31" s="1164">
        <f>+D31</f>
        <v>-7500</v>
      </c>
      <c r="F31" s="1164">
        <f t="shared" si="8"/>
        <v>-7500</v>
      </c>
      <c r="G31" s="1164">
        <f t="shared" si="8"/>
        <v>-7500</v>
      </c>
      <c r="H31" s="1164">
        <f t="shared" si="8"/>
        <v>-7500</v>
      </c>
      <c r="I31" s="1164">
        <f t="shared" si="8"/>
        <v>-7500</v>
      </c>
      <c r="J31" s="1164">
        <f t="shared" si="8"/>
        <v>-7500</v>
      </c>
      <c r="K31" s="1164">
        <f t="shared" si="8"/>
        <v>-7500</v>
      </c>
      <c r="N31" s="3867"/>
      <c r="O31" s="3869"/>
      <c r="Q31" s="958">
        <v>11</v>
      </c>
      <c r="R31" s="1105">
        <f>-SUM(B32:K32)-B64</f>
        <v>38630</v>
      </c>
      <c r="S31" s="1105">
        <f>SUM(B33:K33)+B65+R31</f>
        <v>173277.59796053686</v>
      </c>
      <c r="Z31" s="2259" t="s">
        <v>6467</v>
      </c>
      <c r="AA31" s="2263">
        <v>31</v>
      </c>
    </row>
    <row r="32" spans="1:27" ht="13.35" customHeight="1">
      <c r="A32" s="447" t="s">
        <v>3364</v>
      </c>
      <c r="B32" s="234">
        <v>-19407</v>
      </c>
      <c r="C32" s="234">
        <v>-18941</v>
      </c>
      <c r="D32" s="234">
        <v>-282</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7"/>
      <c r="O32" s="3869"/>
      <c r="Q32" s="958">
        <v>12</v>
      </c>
      <c r="R32" s="1105">
        <f>-SUM(B32:K32) - SUM(B64:C64)</f>
        <v>38630</v>
      </c>
      <c r="S32" s="1105">
        <f>SUM(B33:K33) + SUM(B65:C65)+R32</f>
        <v>182469.94748791881</v>
      </c>
      <c r="Z32" s="2259" t="s">
        <v>6467</v>
      </c>
      <c r="AA32" s="2263">
        <v>32</v>
      </c>
    </row>
    <row r="33" spans="1:27" ht="13.35" customHeight="1">
      <c r="A33" s="21" t="s">
        <v>1097</v>
      </c>
      <c r="B33" s="22">
        <f t="shared" ref="B33:K33" si="9">SUM(B25:B32)</f>
        <v>-0.10383700909733307</v>
      </c>
      <c r="C33" s="22">
        <f t="shared" si="9"/>
        <v>-5.9997009098879062E-2</v>
      </c>
      <c r="D33" s="22">
        <f t="shared" si="9"/>
        <v>18112.161419790835</v>
      </c>
      <c r="E33" s="22">
        <f t="shared" si="9"/>
        <v>17764.46686592685</v>
      </c>
      <c r="F33" s="22">
        <f t="shared" si="9"/>
        <v>17045.643410015546</v>
      </c>
      <c r="G33" s="22">
        <f t="shared" si="9"/>
        <v>16234.354623687046</v>
      </c>
      <c r="H33" s="22">
        <f t="shared" si="9"/>
        <v>15328.136334493742</v>
      </c>
      <c r="I33" s="22">
        <f t="shared" si="9"/>
        <v>14320.392240564353</v>
      </c>
      <c r="J33" s="22">
        <f t="shared" si="9"/>
        <v>13208.389382635694</v>
      </c>
      <c r="K33" s="23">
        <f t="shared" si="9"/>
        <v>11985.253468964002</v>
      </c>
      <c r="N33" s="3867"/>
      <c r="O33" s="3869"/>
      <c r="Q33" s="958">
        <v>13</v>
      </c>
      <c r="R33" s="1105">
        <f>-SUM(B32:K32) - SUM(B64:D64)</f>
        <v>38630</v>
      </c>
      <c r="S33" s="1105">
        <f>SUM(B33:K33) + SUM(B65:D65)+R33</f>
        <v>190082.02951221977</v>
      </c>
      <c r="Z33" s="2259" t="s">
        <v>6467</v>
      </c>
      <c r="AA33" s="2261">
        <v>33</v>
      </c>
    </row>
    <row r="34" spans="1:27" ht="13.35" customHeight="1">
      <c r="A34" s="21" t="str">
        <f>IF('Part II-Sources of Funds'!$E$40 = "Neither", "", "DCR Mortgage A")</f>
        <v>DCR Mortgage A</v>
      </c>
      <c r="B34" s="24">
        <f t="shared" ref="B34:K34" si="10">IF(B26=0,"",-B25/B26)</f>
        <v>1.3939470372673353</v>
      </c>
      <c r="C34" s="24">
        <f t="shared" si="10"/>
        <v>1.3871249182233356</v>
      </c>
      <c r="D34" s="24">
        <f t="shared" si="10"/>
        <v>1.3791194685576409</v>
      </c>
      <c r="E34" s="24">
        <f t="shared" si="10"/>
        <v>1.3699000363951421</v>
      </c>
      <c r="F34" s="24">
        <f t="shared" si="10"/>
        <v>1.3593756574753608</v>
      </c>
      <c r="G34" s="24">
        <f t="shared" si="10"/>
        <v>1.3474974827573893</v>
      </c>
      <c r="H34" s="24">
        <f t="shared" si="10"/>
        <v>1.3342294340020588</v>
      </c>
      <c r="I34" s="24">
        <f t="shared" si="10"/>
        <v>1.3194749339764043</v>
      </c>
      <c r="J34" s="24">
        <f t="shared" si="10"/>
        <v>1.3031939691018175</v>
      </c>
      <c r="K34" s="25">
        <f t="shared" si="10"/>
        <v>1.2852858920628538</v>
      </c>
      <c r="N34" s="3867"/>
      <c r="O34" s="3869"/>
      <c r="Q34" s="958">
        <v>14</v>
      </c>
      <c r="R34" s="1105">
        <f>-SUM(B32:K32) - SUM(B64:E64)</f>
        <v>38630</v>
      </c>
      <c r="S34" s="1105">
        <f>SUM(B33:K33) + SUM(B65:E65)+R34</f>
        <v>195982.70157106704</v>
      </c>
      <c r="Z34" s="2259" t="s">
        <v>6467</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38630</v>
      </c>
      <c r="S35" s="1105">
        <f>SUM(B33:K33) + SUM(B65:F65)+R35</f>
        <v>200037.16463947113</v>
      </c>
      <c r="Z35" s="2259" t="s">
        <v>6467</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38630</v>
      </c>
      <c r="S36" s="1105">
        <f>SUM(B33:K33) + SUM(B65:G65)+R36</f>
        <v>202103.79038717225</v>
      </c>
      <c r="Z36" s="2259" t="s">
        <v>6467</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38630</v>
      </c>
      <c r="S37" s="1105">
        <f>SUM(B33:K33) + SUM(B65:H65)+R37</f>
        <v>202034.94259279221</v>
      </c>
      <c r="Z37" s="2259" t="s">
        <v>6467</v>
      </c>
      <c r="AA37" s="2263">
        <v>37</v>
      </c>
    </row>
    <row r="38" spans="1:27" ht="13.35" customHeight="1">
      <c r="A38" s="447" t="s">
        <v>3217</v>
      </c>
      <c r="B38" s="24">
        <f t="shared" ref="B38:K38" si="14">IF(AND(B26=0,B27=0,B28=0,B29=0),"",-B25/(B26+B27+B28+B29))</f>
        <v>1.3939470372673353</v>
      </c>
      <c r="C38" s="24">
        <f t="shared" si="14"/>
        <v>1.3871249182233356</v>
      </c>
      <c r="D38" s="24">
        <f t="shared" si="14"/>
        <v>1.3791194685576409</v>
      </c>
      <c r="E38" s="24">
        <f t="shared" si="14"/>
        <v>1.3699000363951421</v>
      </c>
      <c r="F38" s="24">
        <f t="shared" si="14"/>
        <v>1.3593756574753608</v>
      </c>
      <c r="G38" s="24">
        <f t="shared" si="14"/>
        <v>1.3474974827573893</v>
      </c>
      <c r="H38" s="24">
        <f t="shared" si="14"/>
        <v>1.3342294340020588</v>
      </c>
      <c r="I38" s="24">
        <f t="shared" si="14"/>
        <v>1.3194749339764043</v>
      </c>
      <c r="J38" s="24">
        <f t="shared" si="14"/>
        <v>1.3031939691018175</v>
      </c>
      <c r="K38" s="25">
        <f t="shared" si="14"/>
        <v>1.2852858920628538</v>
      </c>
      <c r="N38" s="3867"/>
      <c r="O38" s="3869"/>
      <c r="Q38" s="62">
        <v>18</v>
      </c>
      <c r="R38" s="1105">
        <f>-SUM(B32:K32) - SUM(B64:I64)</f>
        <v>38630</v>
      </c>
      <c r="S38" s="1105">
        <f>SUM(B33:K33) + SUM(B65:I65)+R38</f>
        <v>199677.79252627614</v>
      </c>
      <c r="Z38" s="2259" t="s">
        <v>6467</v>
      </c>
      <c r="AA38" s="2263">
        <v>38</v>
      </c>
    </row>
    <row r="39" spans="1:27" ht="13.35" customHeight="1">
      <c r="A39" s="21" t="s">
        <v>718</v>
      </c>
      <c r="B39" s="288">
        <f t="shared" ref="B39:K39" si="15">IF(OR(B22="Choose mgt fee",B22="Choose One!"),"",(B15+B16+B17+B18+B19) / -(B21+B22+B23))</f>
        <v>1.4017015750323827</v>
      </c>
      <c r="C39" s="288">
        <f t="shared" si="15"/>
        <v>1.3880928218767283</v>
      </c>
      <c r="D39" s="288">
        <f t="shared" si="15"/>
        <v>1.3746140057948228</v>
      </c>
      <c r="E39" s="288">
        <f t="shared" si="15"/>
        <v>1.3612727590012113</v>
      </c>
      <c r="F39" s="288">
        <f t="shared" si="15"/>
        <v>1.3480552552511267</v>
      </c>
      <c r="G39" s="288">
        <f t="shared" si="15"/>
        <v>1.3349642306175193</v>
      </c>
      <c r="H39" s="288">
        <f t="shared" si="15"/>
        <v>1.322006636066452</v>
      </c>
      <c r="I39" s="288">
        <f t="shared" si="15"/>
        <v>1.3091703177191039</v>
      </c>
      <c r="J39" s="288">
        <f t="shared" si="15"/>
        <v>1.2964621285199867</v>
      </c>
      <c r="K39" s="289">
        <f t="shared" si="15"/>
        <v>1.2838712150313496</v>
      </c>
      <c r="N39" s="3867"/>
      <c r="O39" s="3869"/>
      <c r="Q39" s="958">
        <v>19</v>
      </c>
      <c r="R39" s="1105">
        <f>-SUM(B32:K32) - SUM(B64:J64)</f>
        <v>38630</v>
      </c>
      <c r="S39" s="1105">
        <f>SUM(B33:K33) + SUM(B65:J65)+R39</f>
        <v>194872.12810519151</v>
      </c>
      <c r="Z39" s="2259" t="s">
        <v>6467</v>
      </c>
      <c r="AA39" s="2263">
        <v>39</v>
      </c>
    </row>
    <row r="40" spans="1:27" ht="13.35" customHeight="1">
      <c r="A40" s="447" t="s">
        <v>2406</v>
      </c>
      <c r="B40" s="232">
        <f>IF('Part II-Sources of Funds'!$I$40="","",-FV('Part II-Sources of Funds'!$K$40/12,12,B26/12,'Part II-Sources of Funds'!$I$40))</f>
        <v>546841.46174226294</v>
      </c>
      <c r="C40" s="232">
        <f>IF('Part II-Sources of Funds'!$I$40="","",-FV('Part II-Sources of Funds'!$K$40/12,12,C26/12,B40))</f>
        <v>492267.87763831043</v>
      </c>
      <c r="D40" s="232">
        <f>IF('Part II-Sources of Funds'!$I$40="","",-FV('Part II-Sources of Funds'!$K$40/12,12,D26/12,C40))</f>
        <v>436241.58008454542</v>
      </c>
      <c r="E40" s="232">
        <f>IF('Part II-Sources of Funds'!$I$40="","",-FV('Part II-Sources of Funds'!$K$40/12,12,E26/12,D40))</f>
        <v>378723.89879016846</v>
      </c>
      <c r="F40" s="232">
        <f>IF('Part II-Sources of Funds'!$I$40="","",-FV('Part II-Sources of Funds'!$K$40/12,12,F26/12,E40))</f>
        <v>319675.1340862941</v>
      </c>
      <c r="G40" s="232">
        <f>IF('Part II-Sources of Funds'!$I$40="","",-FV('Part II-Sources of Funds'!$K$40/12,12,G26/12,F40))</f>
        <v>259054.52952457315</v>
      </c>
      <c r="H40" s="232">
        <f>IF('Part II-Sources of Funds'!$I$40="","",-FV('Part II-Sources of Funds'!$K$40/12,12,H26/12,G40))</f>
        <v>196820.24374640812</v>
      </c>
      <c r="I40" s="232">
        <f>IF('Part II-Sources of Funds'!$I$40="","",-FV('Part II-Sources of Funds'!$K$40/12,12,I26/12,H40))</f>
        <v>132929.32160334525</v>
      </c>
      <c r="J40" s="232">
        <f>IF('Part II-Sources of Funds'!$I$40="","",-FV('Part II-Sources of Funds'!$K$40/12,12,J26/12,I40))</f>
        <v>67337.664508710237</v>
      </c>
      <c r="K40" s="232">
        <f>IF('Part II-Sources of Funds'!$I$40="","",-FV('Part II-Sources of Funds'!$K$40/12,12,K26/12,J40))</f>
        <v>2.3632310330867767E-8</v>
      </c>
      <c r="N40" s="3867"/>
      <c r="O40" s="3869"/>
      <c r="Q40" s="958">
        <v>20</v>
      </c>
      <c r="R40" s="1105">
        <f>-SUM(B32:K32) - SUM(B64:K64)</f>
        <v>38630</v>
      </c>
      <c r="S40" s="1105">
        <f>SUM(B33:K33) + SUM(B65:K65)+R40</f>
        <v>187451.15662434761</v>
      </c>
      <c r="Z40" s="2259" t="s">
        <v>6467</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6467</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6467</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6467</v>
      </c>
      <c r="AA43" s="2262">
        <v>43</v>
      </c>
    </row>
    <row r="44" spans="1:27" ht="13.35" customHeight="1">
      <c r="A44" s="447" t="s">
        <v>3365</v>
      </c>
      <c r="B44" s="234">
        <f>IF('Part II-Sources of Funds'!$I$45="","",-FV('Part II-Sources of Funds'!$K$45/12,12,B32/12,'Part II-Sources of Funds'!$I$45))</f>
        <v>19223</v>
      </c>
      <c r="C44" s="234">
        <f>IF('Part II-Sources of Funds'!$I$45="","",IF(-FV('Part II-Sources of Funds'!$K$45/12,12,C32/12,B44)&gt;0,-FV('Part II-Sources of Funds'!$K$45/12,12,C32/12,B44),0))</f>
        <v>282</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6467</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35" customHeight="1">
      <c r="A47" s="18" t="s">
        <v>2216</v>
      </c>
      <c r="B47" s="19">
        <f t="shared" ref="B47:K47" si="17">$B$15*(1+$B$6)^(B46-1)</f>
        <v>426916.22577056382</v>
      </c>
      <c r="C47" s="19">
        <f t="shared" si="17"/>
        <v>435454.55028597504</v>
      </c>
      <c r="D47" s="19">
        <f t="shared" si="17"/>
        <v>444163.6412916946</v>
      </c>
      <c r="E47" s="19">
        <f t="shared" si="17"/>
        <v>453046.91411752847</v>
      </c>
      <c r="F47" s="19">
        <f t="shared" si="17"/>
        <v>462107.85239987908</v>
      </c>
      <c r="G47" s="19">
        <f t="shared" si="17"/>
        <v>471350.00944787654</v>
      </c>
      <c r="H47" s="19">
        <f t="shared" si="17"/>
        <v>480777.00963683415</v>
      </c>
      <c r="I47" s="19">
        <f t="shared" si="17"/>
        <v>490392.54982957087</v>
      </c>
      <c r="J47" s="19">
        <f t="shared" si="17"/>
        <v>500200.40082616225</v>
      </c>
      <c r="K47" s="20">
        <f t="shared" si="17"/>
        <v>510204.40884268546</v>
      </c>
      <c r="N47" s="3893"/>
      <c r="O47" s="3895"/>
      <c r="Z47" s="2259" t="s">
        <v>6468</v>
      </c>
      <c r="AA47" s="2261">
        <v>47</v>
      </c>
    </row>
    <row r="48" spans="1:27" ht="13.35" customHeight="1">
      <c r="A48" s="21" t="s">
        <v>953</v>
      </c>
      <c r="B48" s="22">
        <f t="shared" ref="B48:K48" si="18">$B$16*(1+$B$6)^(B46-1)</f>
        <v>8538.3245154112774</v>
      </c>
      <c r="C48" s="22">
        <f t="shared" si="18"/>
        <v>8709.0910057195015</v>
      </c>
      <c r="D48" s="22">
        <f t="shared" si="18"/>
        <v>8883.2728258338921</v>
      </c>
      <c r="E48" s="22">
        <f t="shared" si="18"/>
        <v>9060.9382823505694</v>
      </c>
      <c r="F48" s="22">
        <f t="shared" si="18"/>
        <v>9242.1570479975817</v>
      </c>
      <c r="G48" s="22">
        <f t="shared" si="18"/>
        <v>9427.0001889575306</v>
      </c>
      <c r="H48" s="22">
        <f t="shared" si="18"/>
        <v>9615.5401927366838</v>
      </c>
      <c r="I48" s="22">
        <f t="shared" si="18"/>
        <v>9807.8509965914182</v>
      </c>
      <c r="J48" s="22">
        <f t="shared" si="18"/>
        <v>10004.008016523245</v>
      </c>
      <c r="K48" s="23">
        <f t="shared" si="18"/>
        <v>10204.088176853709</v>
      </c>
      <c r="N48" s="3867"/>
      <c r="O48" s="3869"/>
      <c r="Z48" s="2259" t="s">
        <v>6468</v>
      </c>
      <c r="AA48" s="2262">
        <v>48</v>
      </c>
    </row>
    <row r="49" spans="1:27" ht="13.35" customHeight="1">
      <c r="A49" s="21" t="s">
        <v>2217</v>
      </c>
      <c r="B49" s="22">
        <f t="shared" ref="B49:K49" si="19">-(B47+B48)*$B$9</f>
        <v>-30481.81852001826</v>
      </c>
      <c r="C49" s="22">
        <f t="shared" si="19"/>
        <v>-31091.454890418619</v>
      </c>
      <c r="D49" s="22">
        <f t="shared" si="19"/>
        <v>-31713.283988226995</v>
      </c>
      <c r="E49" s="22">
        <f t="shared" si="19"/>
        <v>-32347.549667991534</v>
      </c>
      <c r="F49" s="22">
        <f t="shared" si="19"/>
        <v>-32994.500661351369</v>
      </c>
      <c r="G49" s="22">
        <f t="shared" si="19"/>
        <v>-33654.39067457839</v>
      </c>
      <c r="H49" s="22">
        <f t="shared" si="19"/>
        <v>-34327.478488069959</v>
      </c>
      <c r="I49" s="22">
        <f t="shared" si="19"/>
        <v>-35014.028057831361</v>
      </c>
      <c r="J49" s="22">
        <f t="shared" si="19"/>
        <v>-35714.30861898799</v>
      </c>
      <c r="K49" s="23">
        <f t="shared" si="19"/>
        <v>-36428.594791367745</v>
      </c>
      <c r="N49" s="3867"/>
      <c r="O49" s="3869"/>
      <c r="Z49" s="2259" t="s">
        <v>6468</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6468</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6468</v>
      </c>
      <c r="AA51" s="2262">
        <v>51</v>
      </c>
    </row>
    <row r="52" spans="1:27" ht="13.35" customHeight="1">
      <c r="A52" s="447" t="s">
        <v>3842</v>
      </c>
      <c r="B52" s="22">
        <f t="shared" ref="B52:K52" si="20">SUM(B47:B51)</f>
        <v>404972.73176595685</v>
      </c>
      <c r="C52" s="22">
        <f t="shared" si="20"/>
        <v>413072.18640127592</v>
      </c>
      <c r="D52" s="22">
        <f t="shared" si="20"/>
        <v>421333.63012930145</v>
      </c>
      <c r="E52" s="22">
        <f t="shared" si="20"/>
        <v>429760.3027318875</v>
      </c>
      <c r="F52" s="22">
        <f t="shared" si="20"/>
        <v>438355.50878652529</v>
      </c>
      <c r="G52" s="22">
        <f t="shared" si="20"/>
        <v>447122.61896225571</v>
      </c>
      <c r="H52" s="22">
        <f t="shared" si="20"/>
        <v>456065.07134150085</v>
      </c>
      <c r="I52" s="22">
        <f t="shared" si="20"/>
        <v>465186.37276833097</v>
      </c>
      <c r="J52" s="22">
        <f t="shared" si="20"/>
        <v>474490.10022369755</v>
      </c>
      <c r="K52" s="23">
        <f t="shared" si="20"/>
        <v>483979.90222817141</v>
      </c>
      <c r="N52" s="3867"/>
      <c r="O52" s="3869"/>
      <c r="Z52" s="2259" t="s">
        <v>6468</v>
      </c>
      <c r="AA52" s="2263">
        <v>52</v>
      </c>
    </row>
    <row r="53" spans="1:27" ht="13.35" customHeight="1">
      <c r="A53" s="21" t="s">
        <v>572</v>
      </c>
      <c r="B53" s="22">
        <f t="shared" ref="B53:K53" si="21">$B$21*(1+$B$7)^(B46-1)</f>
        <v>-269470.01713866921</v>
      </c>
      <c r="C53" s="22">
        <f t="shared" si="21"/>
        <v>-277554.11765282927</v>
      </c>
      <c r="D53" s="22">
        <f t="shared" si="21"/>
        <v>-285880.74118241412</v>
      </c>
      <c r="E53" s="22">
        <f t="shared" si="21"/>
        <v>-294457.16341788654</v>
      </c>
      <c r="F53" s="22">
        <f t="shared" si="21"/>
        <v>-303290.87832042319</v>
      </c>
      <c r="G53" s="22">
        <f t="shared" si="21"/>
        <v>-312389.60467003589</v>
      </c>
      <c r="H53" s="22">
        <f t="shared" si="21"/>
        <v>-321761.29281013692</v>
      </c>
      <c r="I53" s="22">
        <f t="shared" si="21"/>
        <v>-331414.13159444102</v>
      </c>
      <c r="J53" s="22">
        <f t="shared" si="21"/>
        <v>-341356.55554227426</v>
      </c>
      <c r="K53" s="23">
        <f t="shared" si="21"/>
        <v>-351597.25220854243</v>
      </c>
      <c r="N53" s="3867"/>
      <c r="O53" s="3869"/>
      <c r="Z53" s="2259" t="s">
        <v>6468</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-32254</v>
      </c>
      <c r="C54" s="22">
        <f>IF(AND('Part VI-Pro Forma'!$G$9="Yes",'Part VI-Pro Forma'!$G$10="Yes"),"Choose One!",IF('Part VI-Pro Forma'!$G$9="Yes",ROUND((-$K$9*(1+'Part VI-Pro Forma'!$B$7)^('Part VI-Pro Forma'!C46-1)),),IF('Part VI-Pro Forma'!$G$10="Yes",ROUND((-(SUM(C47:C50)*'Part VI-Pro Forma'!$K$10)),),"Choose mgt fee")))</f>
        <v>-33222</v>
      </c>
      <c r="D54" s="22">
        <f>IF(AND('Part VI-Pro Forma'!$G$9="Yes",'Part VI-Pro Forma'!$G$10="Yes"),"Choose One!",IF('Part VI-Pro Forma'!$G$9="Yes",ROUND((-$K$9*(1+'Part VI-Pro Forma'!$B$7)^('Part VI-Pro Forma'!D46-1)),),IF('Part VI-Pro Forma'!$G$10="Yes",ROUND((-(SUM(D47:D50)*'Part VI-Pro Forma'!$K$10)),),"Choose mgt fee")))</f>
        <v>-34218</v>
      </c>
      <c r="E54" s="22">
        <f>IF(AND('Part VI-Pro Forma'!$G$9="Yes",'Part VI-Pro Forma'!$G$10="Yes"),"Choose One!",IF('Part VI-Pro Forma'!$G$9="Yes",ROUND((-$K$9*(1+'Part VI-Pro Forma'!$B$7)^('Part VI-Pro Forma'!E46-1)),),IF('Part VI-Pro Forma'!$G$10="Yes",ROUND((-(SUM(E47:E50)*'Part VI-Pro Forma'!$K$10)),),"Choose mgt fee")))</f>
        <v>-35245</v>
      </c>
      <c r="F54" s="22">
        <f>IF(AND('Part VI-Pro Forma'!$G$9="Yes",'Part VI-Pro Forma'!$G$10="Yes"),"Choose One!",IF('Part VI-Pro Forma'!$G$9="Yes",ROUND((-$K$9*(1+'Part VI-Pro Forma'!$B$7)^('Part VI-Pro Forma'!F46-1)),),IF('Part VI-Pro Forma'!$G$10="Yes",ROUND((-(SUM(F47:F50)*'Part VI-Pro Forma'!$K$10)),),"Choose mgt fee")))</f>
        <v>-36302</v>
      </c>
      <c r="G54" s="22">
        <f>IF(AND('Part VI-Pro Forma'!$G$9="Yes",'Part VI-Pro Forma'!$G$10="Yes"),"Choose One!",IF('Part VI-Pro Forma'!$G$9="Yes",ROUND((-$K$9*(1+'Part VI-Pro Forma'!$B$7)^('Part VI-Pro Forma'!G46-1)),),IF('Part VI-Pro Forma'!$G$10="Yes",ROUND((-(SUM(G47:G50)*'Part VI-Pro Forma'!$K$10)),),"Choose mgt fee")))</f>
        <v>-37391</v>
      </c>
      <c r="H54" s="22">
        <f>IF(AND('Part VI-Pro Forma'!$G$9="Yes",'Part VI-Pro Forma'!$G$10="Yes"),"Choose One!",IF('Part VI-Pro Forma'!$G$9="Yes",ROUND((-$K$9*(1+'Part VI-Pro Forma'!$B$7)^('Part VI-Pro Forma'!H46-1)),),IF('Part VI-Pro Forma'!$G$10="Yes",ROUND((-(SUM(H47:H50)*'Part VI-Pro Forma'!$K$10)),),"Choose mgt fee")))</f>
        <v>-38513</v>
      </c>
      <c r="I54" s="22">
        <f>IF(AND('Part VI-Pro Forma'!$G$9="Yes",'Part VI-Pro Forma'!$G$10="Yes"),"Choose One!",IF('Part VI-Pro Forma'!$G$9="Yes",ROUND((-$K$9*(1+'Part VI-Pro Forma'!$B$7)^('Part VI-Pro Forma'!I46-1)),),IF('Part VI-Pro Forma'!$G$10="Yes",ROUND((-(SUM(I47:I50)*'Part VI-Pro Forma'!$K$10)),),"Choose mgt fee")))</f>
        <v>-39668</v>
      </c>
      <c r="J54" s="22">
        <f>IF(AND('Part VI-Pro Forma'!$G$9="Yes",'Part VI-Pro Forma'!$G$10="Yes"),"Choose One!",IF('Part VI-Pro Forma'!$G$9="Yes",ROUND((-$K$9*(1+'Part VI-Pro Forma'!$B$7)^('Part VI-Pro Forma'!J46-1)),),IF('Part VI-Pro Forma'!$G$10="Yes",ROUND((-(SUM(J47:J50)*'Part VI-Pro Forma'!$K$10)),),"Choose mgt fee")))</f>
        <v>-40858</v>
      </c>
      <c r="K54" s="23">
        <f>IF(AND('Part VI-Pro Forma'!$G$9="Yes",'Part VI-Pro Forma'!$G$10="Yes"),"Choose One!",IF('Part VI-Pro Forma'!$G$9="Yes",ROUND((-$K$9*(1+'Part VI-Pro Forma'!$B$7)^('Part VI-Pro Forma'!K46-1)),),IF('Part VI-Pro Forma'!$G$10="Yes",ROUND((-(SUM(K47:K50)*'Part VI-Pro Forma'!$K$10)),),"Choose mgt fee")))</f>
        <v>-42084</v>
      </c>
      <c r="N54" s="3867"/>
      <c r="O54" s="3869"/>
      <c r="Z54" s="2259" t="s">
        <v>6468</v>
      </c>
      <c r="AA54" s="2263">
        <v>54</v>
      </c>
    </row>
    <row r="55" spans="1:27" ht="13.35" customHeight="1">
      <c r="A55" s="21" t="s">
        <v>1129</v>
      </c>
      <c r="B55" s="22">
        <f t="shared" ref="B55:K55" si="22">$B$23*(1+$B$8)^(B46-1)</f>
        <v>-16798.954741801521</v>
      </c>
      <c r="C55" s="22">
        <f t="shared" si="22"/>
        <v>-17302.923384055568</v>
      </c>
      <c r="D55" s="22">
        <f t="shared" si="22"/>
        <v>-17822.011085577233</v>
      </c>
      <c r="E55" s="22">
        <f t="shared" si="22"/>
        <v>-18356.67141814455</v>
      </c>
      <c r="F55" s="22">
        <f t="shared" si="22"/>
        <v>-18907.371560688887</v>
      </c>
      <c r="G55" s="22">
        <f t="shared" si="22"/>
        <v>-19474.592707509557</v>
      </c>
      <c r="H55" s="22">
        <f t="shared" si="22"/>
        <v>-20058.830488734839</v>
      </c>
      <c r="I55" s="22">
        <f t="shared" si="22"/>
        <v>-20660.595403396885</v>
      </c>
      <c r="J55" s="22">
        <f t="shared" si="22"/>
        <v>-21280.413265498792</v>
      </c>
      <c r="K55" s="23">
        <f t="shared" si="22"/>
        <v>-21918.825663463755</v>
      </c>
      <c r="N55" s="3867"/>
      <c r="O55" s="3869"/>
      <c r="Q55" s="958"/>
      <c r="R55" s="1105"/>
      <c r="S55" s="1105"/>
      <c r="Z55" s="2259" t="s">
        <v>6468</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6468</v>
      </c>
      <c r="AA56" s="2263">
        <v>56</v>
      </c>
    </row>
    <row r="57" spans="1:27" ht="13.35" customHeight="1">
      <c r="A57" s="21" t="s">
        <v>1130</v>
      </c>
      <c r="B57" s="22">
        <f t="shared" ref="B57:K57" si="23">SUM(B52:B56)</f>
        <v>86449.759885486128</v>
      </c>
      <c r="C57" s="22">
        <f t="shared" si="23"/>
        <v>84993.145364391079</v>
      </c>
      <c r="D57" s="22">
        <f t="shared" si="23"/>
        <v>83412.877861310102</v>
      </c>
      <c r="E57" s="22">
        <f t="shared" si="23"/>
        <v>81701.467895856418</v>
      </c>
      <c r="F57" s="22">
        <f t="shared" si="23"/>
        <v>79855.258905413211</v>
      </c>
      <c r="G57" s="22">
        <f t="shared" si="23"/>
        <v>77867.421584710275</v>
      </c>
      <c r="H57" s="22">
        <f t="shared" si="23"/>
        <v>75731.948042629097</v>
      </c>
      <c r="I57" s="22">
        <f t="shared" si="23"/>
        <v>73443.645770493065</v>
      </c>
      <c r="J57" s="22">
        <f t="shared" si="23"/>
        <v>70995.131415924494</v>
      </c>
      <c r="K57" s="1538">
        <f t="shared" si="23"/>
        <v>68379.824356165234</v>
      </c>
      <c r="N57" s="3867"/>
      <c r="O57" s="3869"/>
      <c r="Z57" s="2259" t="s">
        <v>6468</v>
      </c>
      <c r="AA57" s="2263">
        <v>57</v>
      </c>
    </row>
    <row r="58" spans="1:27" ht="13.35" customHeight="1">
      <c r="A58" s="21" t="str">
        <f>$A26</f>
        <v>Mortgage A</v>
      </c>
      <c r="B58" s="448">
        <f>IF('Part II-Sources of Funds'!$P$40="", 0,-'Part II-Sources of Funds'!$P$40)</f>
        <v>-68300.795837009136</v>
      </c>
      <c r="C58" s="448">
        <f>IF('Part II-Sources of Funds'!$P$40="", 0,-'Part II-Sources of Funds'!$P$40)</f>
        <v>-68300.795837009136</v>
      </c>
      <c r="D58" s="448">
        <f>IF('Part II-Sources of Funds'!$P$40="", 0,-'Part II-Sources of Funds'!$P$40)</f>
        <v>-68300.795837009136</v>
      </c>
      <c r="E58" s="448">
        <f>IF('Part II-Sources of Funds'!$P$40="", 0,-'Part II-Sources of Funds'!$P$40)</f>
        <v>-68300.795837009136</v>
      </c>
      <c r="F58" s="448">
        <f>IF('Part II-Sources of Funds'!$P$40="", 0,-'Part II-Sources of Funds'!$P$40)</f>
        <v>-68300.795837009136</v>
      </c>
      <c r="G58" s="448">
        <f>IF('Part II-Sources of Funds'!$P$40="", 0,-'Part II-Sources of Funds'!$P$40)</f>
        <v>-68300.795837009136</v>
      </c>
      <c r="H58" s="448">
        <f>IF('Part II-Sources of Funds'!$P$40="", 0,-'Part II-Sources of Funds'!$P$40)</f>
        <v>-68300.795837009136</v>
      </c>
      <c r="I58" s="448">
        <f>IF('Part II-Sources of Funds'!$P$40="", 0,-'Part II-Sources of Funds'!$P$40)</f>
        <v>-68300.795837009136</v>
      </c>
      <c r="J58" s="448">
        <f>IF('Part II-Sources of Funds'!$P$40="", 0,-'Part II-Sources of Funds'!$P$40)</f>
        <v>-68300.795837009136</v>
      </c>
      <c r="K58" s="448">
        <f>IF('Part II-Sources of Funds'!$P$40="", 0,-'Part II-Sources of Funds'!$P$40)</f>
        <v>-68300.795837009136</v>
      </c>
      <c r="N58" s="3867"/>
      <c r="O58" s="3869"/>
      <c r="Z58" s="2259" t="s">
        <v>6468</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6468</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6468</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6468</v>
      </c>
      <c r="AA61" s="2263">
        <v>61</v>
      </c>
    </row>
    <row r="62" spans="1:27" ht="13.35" customHeight="1">
      <c r="A62" s="21" t="s">
        <v>711</v>
      </c>
      <c r="B62" s="173"/>
      <c r="C62" s="173"/>
      <c r="D62" s="173"/>
      <c r="E62" s="173"/>
      <c r="F62" s="173"/>
      <c r="G62" s="173"/>
      <c r="H62" s="173"/>
      <c r="I62" s="173"/>
      <c r="J62" s="173"/>
      <c r="K62" s="173"/>
      <c r="N62" s="3867"/>
      <c r="O62" s="3869"/>
      <c r="Q62" s="958"/>
      <c r="R62" s="1105"/>
      <c r="Z62" s="2259" t="s">
        <v>6468</v>
      </c>
      <c r="AA62" s="2263">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7"/>
      <c r="O63" s="3869"/>
      <c r="Z63" s="2259" t="s">
        <v>6468</v>
      </c>
      <c r="AA63" s="2263">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7"/>
      <c r="O64" s="3869"/>
      <c r="Z64" s="2259" t="s">
        <v>6468</v>
      </c>
      <c r="AA64" s="2263">
        <v>64</v>
      </c>
    </row>
    <row r="65" spans="1:27" ht="13.35" customHeight="1">
      <c r="A65" s="21" t="s">
        <v>1097</v>
      </c>
      <c r="B65" s="22">
        <f t="shared" ref="B65:K65" si="25">SUM(B57:B64)</f>
        <v>10648.964048476992</v>
      </c>
      <c r="C65" s="22">
        <f t="shared" si="25"/>
        <v>9192.3495273819426</v>
      </c>
      <c r="D65" s="22">
        <f t="shared" si="25"/>
        <v>7612.0820243009657</v>
      </c>
      <c r="E65" s="22">
        <f t="shared" si="25"/>
        <v>5900.6720588472817</v>
      </c>
      <c r="F65" s="22">
        <f t="shared" si="25"/>
        <v>4054.4630684040749</v>
      </c>
      <c r="G65" s="22">
        <f t="shared" si="25"/>
        <v>2066.6257477011386</v>
      </c>
      <c r="H65" s="22">
        <f t="shared" si="25"/>
        <v>-68.847794380038977</v>
      </c>
      <c r="I65" s="22">
        <f t="shared" si="25"/>
        <v>-2357.1500665160711</v>
      </c>
      <c r="J65" s="22">
        <f t="shared" si="25"/>
        <v>-4805.6644210846425</v>
      </c>
      <c r="K65" s="642">
        <f t="shared" si="25"/>
        <v>-7420.9714808439021</v>
      </c>
      <c r="N65" s="3867"/>
      <c r="O65" s="3869"/>
      <c r="Z65" s="2259" t="s">
        <v>6468</v>
      </c>
      <c r="AA65" s="2263">
        <v>65</v>
      </c>
    </row>
    <row r="66" spans="1:27" ht="13.35" customHeight="1">
      <c r="A66" s="21" t="str">
        <f>$A34</f>
        <v>DCR Mortgage A</v>
      </c>
      <c r="B66" s="24">
        <f t="shared" ref="B66:K66" si="26">IF(B58=0,"",-B57/B58)</f>
        <v>1.2657211211972861</v>
      </c>
      <c r="C66" s="24">
        <f t="shared" si="26"/>
        <v>1.2443946563553379</v>
      </c>
      <c r="D66" s="24">
        <f t="shared" si="26"/>
        <v>1.2212577736336185</v>
      </c>
      <c r="E66" s="24">
        <f t="shared" si="26"/>
        <v>1.1962008186672703</v>
      </c>
      <c r="F66" s="24">
        <f t="shared" si="26"/>
        <v>1.1691702552921532</v>
      </c>
      <c r="G66" s="24">
        <f t="shared" si="26"/>
        <v>1.1400660948450825</v>
      </c>
      <c r="H66" s="24">
        <f t="shared" si="26"/>
        <v>1.1088003750842585</v>
      </c>
      <c r="I66" s="24">
        <f t="shared" si="26"/>
        <v>1.0752970718782935</v>
      </c>
      <c r="J66" s="24">
        <f t="shared" si="26"/>
        <v>1.0394480846950163</v>
      </c>
      <c r="K66" s="25">
        <f t="shared" si="26"/>
        <v>1.0011570658612043</v>
      </c>
      <c r="N66" s="3867"/>
      <c r="O66" s="3869"/>
      <c r="Z66" s="2259" t="s">
        <v>6468</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6468</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6468</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6468</v>
      </c>
      <c r="AA69" s="2262">
        <v>69</v>
      </c>
    </row>
    <row r="70" spans="1:27" ht="13.35" customHeight="1">
      <c r="A70" s="447" t="s">
        <v>3217</v>
      </c>
      <c r="B70" s="24">
        <f t="shared" ref="B70:K70" si="30">IF(AND(B58=0,B59=0,B60=0,B61=0),"",-B57/(B58+B59+B60+B61))</f>
        <v>1.2657211211972861</v>
      </c>
      <c r="C70" s="24">
        <f t="shared" si="30"/>
        <v>1.2443946563553379</v>
      </c>
      <c r="D70" s="24">
        <f t="shared" si="30"/>
        <v>1.2212577736336185</v>
      </c>
      <c r="E70" s="24">
        <f t="shared" si="30"/>
        <v>1.1962008186672703</v>
      </c>
      <c r="F70" s="24">
        <f t="shared" si="30"/>
        <v>1.1691702552921532</v>
      </c>
      <c r="G70" s="24">
        <f t="shared" si="30"/>
        <v>1.1400660948450825</v>
      </c>
      <c r="H70" s="24">
        <f t="shared" si="30"/>
        <v>1.1088003750842585</v>
      </c>
      <c r="I70" s="24">
        <f t="shared" si="30"/>
        <v>1.0752970718782935</v>
      </c>
      <c r="J70" s="24">
        <f t="shared" si="30"/>
        <v>1.0394480846950163</v>
      </c>
      <c r="K70" s="25">
        <f t="shared" si="30"/>
        <v>1.0011570658612043</v>
      </c>
      <c r="N70" s="3867"/>
      <c r="O70" s="3869"/>
      <c r="Z70" s="2259" t="s">
        <v>6468</v>
      </c>
      <c r="AA70" s="2263">
        <v>70</v>
      </c>
    </row>
    <row r="71" spans="1:27" ht="13.35" customHeight="1">
      <c r="A71" s="21" t="s">
        <v>718</v>
      </c>
      <c r="B71" s="288">
        <f t="shared" ref="B71:K71" si="31">IF(OR(B54="Choose mgt fee",B54="Choose One!"),"",(B47+B48+B49+B50+B51) / -(B53+B54+B55))</f>
        <v>1.2714082421594612</v>
      </c>
      <c r="C71" s="288">
        <f t="shared" si="31"/>
        <v>1.2590630144972765</v>
      </c>
      <c r="D71" s="288">
        <f t="shared" si="31"/>
        <v>1.2468415369623664</v>
      </c>
      <c r="E71" s="288">
        <f t="shared" si="31"/>
        <v>1.2347346474751764</v>
      </c>
      <c r="F71" s="288">
        <f t="shared" si="31"/>
        <v>1.2227481262060356</v>
      </c>
      <c r="G71" s="288">
        <f t="shared" si="31"/>
        <v>1.210876981929369</v>
      </c>
      <c r="H71" s="288">
        <f t="shared" si="31"/>
        <v>1.1991200434654694</v>
      </c>
      <c r="I71" s="288">
        <f t="shared" si="31"/>
        <v>1.1874792834913268</v>
      </c>
      <c r="J71" s="288">
        <f t="shared" si="31"/>
        <v>1.1759504749853447</v>
      </c>
      <c r="K71" s="289">
        <f t="shared" si="31"/>
        <v>1.1645327515487724</v>
      </c>
      <c r="N71" s="3867"/>
      <c r="O71" s="3869"/>
      <c r="Z71" s="2259" t="s">
        <v>6468</v>
      </c>
      <c r="AA71" s="2263">
        <v>71</v>
      </c>
    </row>
    <row r="72" spans="1:27" ht="13.35" customHeight="1">
      <c r="A72" s="447" t="s">
        <v>2406</v>
      </c>
      <c r="B72" s="232">
        <f>IF('Part II-Sources of Funds'!$I$40="","",-FV('Part II-Sources of Funds'!$K$40/12,12,B58/12,K40))</f>
        <v>-69130.149508812508</v>
      </c>
      <c r="C72" s="232">
        <f>IF('Part II-Sources of Funds'!$I$40="","",-FV('Part II-Sources of Funds'!$K$40/12,12,C58/12,B72))</f>
        <v>-140100.49880712456</v>
      </c>
      <c r="D72" s="232">
        <f>IF('Part II-Sources of Funds'!$I$40="","",-FV('Part II-Sources of Funds'!$K$40/12,12,D58/12,C72))</f>
        <v>-212960.0328210156</v>
      </c>
      <c r="E72" s="232">
        <f>IF('Part II-Sources of Funds'!$I$40="","",-FV('Part II-Sources of Funds'!$K$40/12,12,E58/12,D72))</f>
        <v>-287759.04042358359</v>
      </c>
      <c r="F72" s="232">
        <f>IF('Part II-Sources of Funds'!$I$40="","",-FV('Part II-Sources of Funds'!$K$40/12,12,F58/12,E72))</f>
        <v>-364549.14914514532</v>
      </c>
      <c r="G72" s="232">
        <f>IF('Part II-Sources of Funds'!$I$40="","",-FV('Part II-Sources of Funds'!$K$40/12,12,G58/12,F72))</f>
        <v>-443383.36080742453</v>
      </c>
      <c r="H72" s="232">
        <f>IF('Part II-Sources of Funds'!$I$40="","",-FV('Part II-Sources of Funds'!$K$40/12,12,H58/12,G72))</f>
        <v>-524316.08810629847</v>
      </c>
      <c r="I72" s="232">
        <f>IF('Part II-Sources of Funds'!$I$40="","",-FV('Part II-Sources of Funds'!$K$40/12,12,I58/12,H72))</f>
        <v>-607403.19216835394</v>
      </c>
      <c r="J72" s="232">
        <f>IF('Part II-Sources of Funds'!$I$40="","",-FV('Part II-Sources of Funds'!$K$40/12,12,J58/12,I72))</f>
        <v>-692702.02110717411</v>
      </c>
      <c r="K72" s="232">
        <f>IF('Part II-Sources of Funds'!$I$40="","",-FV('Part II-Sources of Funds'!$K$40/12,12,K58/12,J72))</f>
        <v>-780271.44960596901</v>
      </c>
      <c r="N72" s="3867"/>
      <c r="O72" s="3869"/>
      <c r="Z72" s="2259" t="s">
        <v>6468</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6468</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6468</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6468</v>
      </c>
      <c r="AA75" s="2263">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6468</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35" customHeight="1">
      <c r="A79" s="18" t="s">
        <v>2216</v>
      </c>
      <c r="B79" s="19">
        <f t="shared" ref="B79:K79" si="33">$B$15*(1+$B$6)^(B78-1)</f>
        <v>520408.49701953924</v>
      </c>
      <c r="C79" s="19">
        <f t="shared" si="33"/>
        <v>530816.66695992998</v>
      </c>
      <c r="D79" s="19">
        <f t="shared" si="33"/>
        <v>541433.00029912859</v>
      </c>
      <c r="E79" s="19">
        <f t="shared" si="33"/>
        <v>552261.66030511109</v>
      </c>
      <c r="F79" s="19">
        <f t="shared" si="33"/>
        <v>563306.89351121336</v>
      </c>
      <c r="G79" s="19">
        <f t="shared" si="33"/>
        <v>574573.03138143755</v>
      </c>
      <c r="H79" s="19">
        <f t="shared" si="33"/>
        <v>586064.49200906639</v>
      </c>
      <c r="I79" s="19">
        <f t="shared" si="33"/>
        <v>597785.78184924764</v>
      </c>
      <c r="J79" s="19">
        <f t="shared" si="33"/>
        <v>609741.49748623266</v>
      </c>
      <c r="K79" s="20">
        <f t="shared" si="33"/>
        <v>621936.32743595727</v>
      </c>
      <c r="N79" s="3893"/>
      <c r="O79" s="3895"/>
      <c r="Z79" s="2259" t="s">
        <v>6469</v>
      </c>
      <c r="AA79" s="2263">
        <v>79</v>
      </c>
    </row>
    <row r="80" spans="1:27" ht="13.35" customHeight="1">
      <c r="A80" s="21" t="s">
        <v>953</v>
      </c>
      <c r="B80" s="22">
        <f t="shared" ref="B80:K80" si="34">$B$16*(1+$B$6)^(B78-1)</f>
        <v>10408.169940390786</v>
      </c>
      <c r="C80" s="22">
        <f t="shared" si="34"/>
        <v>10616.3333391986</v>
      </c>
      <c r="D80" s="22">
        <f t="shared" si="34"/>
        <v>10828.660005982572</v>
      </c>
      <c r="E80" s="22">
        <f t="shared" si="34"/>
        <v>11045.233206102223</v>
      </c>
      <c r="F80" s="22">
        <f t="shared" si="34"/>
        <v>11266.137870224267</v>
      </c>
      <c r="G80" s="22">
        <f t="shared" si="34"/>
        <v>11491.460627628752</v>
      </c>
      <c r="H80" s="22">
        <f t="shared" si="34"/>
        <v>11721.289840181329</v>
      </c>
      <c r="I80" s="22">
        <f t="shared" si="34"/>
        <v>11955.715636984953</v>
      </c>
      <c r="J80" s="22">
        <f t="shared" si="34"/>
        <v>12194.829949724655</v>
      </c>
      <c r="K80" s="23">
        <f t="shared" si="34"/>
        <v>12438.726548719145</v>
      </c>
      <c r="N80" s="3867"/>
      <c r="O80" s="3869"/>
      <c r="Z80" s="2259" t="s">
        <v>6469</v>
      </c>
      <c r="AA80" s="2263">
        <v>80</v>
      </c>
    </row>
    <row r="81" spans="1:27" ht="13.35" customHeight="1">
      <c r="A81" s="21" t="s">
        <v>2217</v>
      </c>
      <c r="B81" s="22">
        <f t="shared" ref="B81:K81" si="35">-(B79+B80)*$B$9</f>
        <v>-37157.166687195102</v>
      </c>
      <c r="C81" s="22">
        <f t="shared" si="35"/>
        <v>-37900.310020939003</v>
      </c>
      <c r="D81" s="22">
        <f t="shared" si="35"/>
        <v>-38658.316221357789</v>
      </c>
      <c r="E81" s="22">
        <f t="shared" si="35"/>
        <v>-39431.482545784937</v>
      </c>
      <c r="F81" s="22">
        <f t="shared" si="35"/>
        <v>-40220.11219670064</v>
      </c>
      <c r="G81" s="22">
        <f t="shared" si="35"/>
        <v>-41024.514440634644</v>
      </c>
      <c r="H81" s="22">
        <f t="shared" si="35"/>
        <v>-41845.004729447348</v>
      </c>
      <c r="I81" s="22">
        <f t="shared" si="35"/>
        <v>-42681.904824036283</v>
      </c>
      <c r="J81" s="22">
        <f t="shared" si="35"/>
        <v>-43535.542920517015</v>
      </c>
      <c r="K81" s="23">
        <f t="shared" si="35"/>
        <v>-44406.253778927348</v>
      </c>
      <c r="N81" s="3867"/>
      <c r="O81" s="3869"/>
      <c r="Z81" s="2259" t="s">
        <v>6469</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6469</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6469</v>
      </c>
      <c r="AA83" s="2262">
        <v>83</v>
      </c>
    </row>
    <row r="84" spans="1:27" ht="13.35" customHeight="1">
      <c r="A84" s="447" t="s">
        <v>3842</v>
      </c>
      <c r="B84" s="22">
        <f t="shared" ref="B84:K84" si="36">SUM(B79:B83)</f>
        <v>493659.50027273491</v>
      </c>
      <c r="C84" s="22">
        <f t="shared" si="36"/>
        <v>503532.69027818961</v>
      </c>
      <c r="D84" s="22">
        <f t="shared" si="36"/>
        <v>513603.34408375341</v>
      </c>
      <c r="E84" s="22">
        <f t="shared" si="36"/>
        <v>523875.41096542845</v>
      </c>
      <c r="F84" s="22">
        <f t="shared" si="36"/>
        <v>534352.91918473702</v>
      </c>
      <c r="G84" s="22">
        <f t="shared" si="36"/>
        <v>545039.97756843164</v>
      </c>
      <c r="H84" s="22">
        <f t="shared" si="36"/>
        <v>555940.77711980045</v>
      </c>
      <c r="I84" s="22">
        <f t="shared" si="36"/>
        <v>567059.59266219626</v>
      </c>
      <c r="J84" s="22">
        <f t="shared" si="36"/>
        <v>578400.78451544023</v>
      </c>
      <c r="K84" s="23">
        <f t="shared" si="36"/>
        <v>589968.80020574899</v>
      </c>
      <c r="N84" s="3867"/>
      <c r="O84" s="3869"/>
      <c r="Z84" s="2259" t="s">
        <v>6469</v>
      </c>
      <c r="AA84" s="2263">
        <v>84</v>
      </c>
    </row>
    <row r="85" spans="1:27" ht="13.35" customHeight="1">
      <c r="A85" s="21" t="s">
        <v>572</v>
      </c>
      <c r="B85" s="22">
        <f t="shared" ref="B85:K85" si="37">$B$21*(1+$B$7)^(B78-1)</f>
        <v>-362145.16977479873</v>
      </c>
      <c r="C85" s="22">
        <f t="shared" si="37"/>
        <v>-373009.52486804262</v>
      </c>
      <c r="D85" s="22">
        <f t="shared" si="37"/>
        <v>-384199.81061408395</v>
      </c>
      <c r="E85" s="22">
        <f t="shared" si="37"/>
        <v>-395725.80493250652</v>
      </c>
      <c r="F85" s="22">
        <f t="shared" si="37"/>
        <v>-407597.57908048161</v>
      </c>
      <c r="G85" s="22">
        <f t="shared" si="37"/>
        <v>-419825.50645289605</v>
      </c>
      <c r="H85" s="22">
        <f t="shared" si="37"/>
        <v>-432420.27164648299</v>
      </c>
      <c r="I85" s="22">
        <f t="shared" si="37"/>
        <v>-445392.87979587744</v>
      </c>
      <c r="J85" s="22">
        <f t="shared" si="37"/>
        <v>-458754.6661897538</v>
      </c>
      <c r="K85" s="23">
        <f t="shared" si="37"/>
        <v>-472517.30617544637</v>
      </c>
      <c r="N85" s="3867"/>
      <c r="O85" s="3869"/>
      <c r="Z85" s="2259" t="s">
        <v>6469</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-43347</v>
      </c>
      <c r="C86" s="22">
        <f>IF(AND('Part VI-Pro Forma'!$G$9="Yes",'Part VI-Pro Forma'!$G$10="Yes"),"Choose One!",IF('Part VI-Pro Forma'!$G$9="Yes",ROUND((-$K$9*(1+'Part VI-Pro Forma'!$B$7)^('Part VI-Pro Forma'!C78-1)),),IF('Part VI-Pro Forma'!$G$10="Yes",ROUND((-(SUM(C79:C82)*'Part VI-Pro Forma'!$K$10)),),"Choose mgt fee")))</f>
        <v>-44647</v>
      </c>
      <c r="D86" s="22">
        <f>IF(AND('Part VI-Pro Forma'!$G$9="Yes",'Part VI-Pro Forma'!$G$10="Yes"),"Choose One!",IF('Part VI-Pro Forma'!$G$9="Yes",ROUND((-$K$9*(1+'Part VI-Pro Forma'!$B$7)^('Part VI-Pro Forma'!D78-1)),),IF('Part VI-Pro Forma'!$G$10="Yes",ROUND((-(SUM(D79:D82)*'Part VI-Pro Forma'!$K$10)),),"Choose mgt fee")))</f>
        <v>-45986</v>
      </c>
      <c r="E86" s="22">
        <f>IF(AND('Part VI-Pro Forma'!$G$9="Yes",'Part VI-Pro Forma'!$G$10="Yes"),"Choose One!",IF('Part VI-Pro Forma'!$G$9="Yes",ROUND((-$K$9*(1+'Part VI-Pro Forma'!$B$7)^('Part VI-Pro Forma'!E78-1)),),IF('Part VI-Pro Forma'!$G$10="Yes",ROUND((-(SUM(E79:E82)*'Part VI-Pro Forma'!$K$10)),),"Choose mgt fee")))</f>
        <v>-47366</v>
      </c>
      <c r="F86" s="22">
        <f>IF(AND('Part VI-Pro Forma'!$G$9="Yes",'Part VI-Pro Forma'!$G$10="Yes"),"Choose One!",IF('Part VI-Pro Forma'!$G$9="Yes",ROUND((-$K$9*(1+'Part VI-Pro Forma'!$B$7)^('Part VI-Pro Forma'!F78-1)),),IF('Part VI-Pro Forma'!$G$10="Yes",ROUND((-(SUM(F79:F82)*'Part VI-Pro Forma'!$K$10)),),"Choose mgt fee")))</f>
        <v>-48787</v>
      </c>
      <c r="G86" s="22">
        <f>IF(AND('Part VI-Pro Forma'!$G$9="Yes",'Part VI-Pro Forma'!$G$10="Yes"),"Choose One!",IF('Part VI-Pro Forma'!$G$9="Yes",ROUND((-$K$9*(1+'Part VI-Pro Forma'!$B$7)^('Part VI-Pro Forma'!G78-1)),),IF('Part VI-Pro Forma'!$G$10="Yes",ROUND((-(SUM(G79:G82)*'Part VI-Pro Forma'!$K$10)),),"Choose mgt fee")))</f>
        <v>-50251</v>
      </c>
      <c r="H86" s="22">
        <f>IF(AND('Part VI-Pro Forma'!$G$9="Yes",'Part VI-Pro Forma'!$G$10="Yes"),"Choose One!",IF('Part VI-Pro Forma'!$G$9="Yes",ROUND((-$K$9*(1+'Part VI-Pro Forma'!$B$7)^('Part VI-Pro Forma'!H78-1)),),IF('Part VI-Pro Forma'!$G$10="Yes",ROUND((-(SUM(H79:H82)*'Part VI-Pro Forma'!$K$10)),),"Choose mgt fee")))</f>
        <v>-51758</v>
      </c>
      <c r="I86" s="22">
        <f>IF(AND('Part VI-Pro Forma'!$G$9="Yes",'Part VI-Pro Forma'!$G$10="Yes"),"Choose One!",IF('Part VI-Pro Forma'!$G$9="Yes",ROUND((-$K$9*(1+'Part VI-Pro Forma'!$B$7)^('Part VI-Pro Forma'!I78-1)),),IF('Part VI-Pro Forma'!$G$10="Yes",ROUND((-(SUM(I79:I82)*'Part VI-Pro Forma'!$K$10)),),"Choose mgt fee")))</f>
        <v>-53311</v>
      </c>
      <c r="J86" s="22">
        <f>IF(AND('Part VI-Pro Forma'!$G$9="Yes",'Part VI-Pro Forma'!$G$10="Yes"),"Choose One!",IF('Part VI-Pro Forma'!$G$9="Yes",ROUND((-$K$9*(1+'Part VI-Pro Forma'!$B$7)^('Part VI-Pro Forma'!J78-1)),),IF('Part VI-Pro Forma'!$G$10="Yes",ROUND((-(SUM(J79:J82)*'Part VI-Pro Forma'!$K$10)),),"Choose mgt fee")))</f>
        <v>-54910</v>
      </c>
      <c r="K86" s="23">
        <f>IF(AND('Part VI-Pro Forma'!$G$9="Yes",'Part VI-Pro Forma'!$G$10="Yes"),"Choose One!",IF('Part VI-Pro Forma'!$G$9="Yes",ROUND((-$K$9*(1+'Part VI-Pro Forma'!$B$7)^('Part VI-Pro Forma'!K78-1)),),IF('Part VI-Pro Forma'!$G$10="Yes",ROUND((-(SUM(K79:K82)*'Part VI-Pro Forma'!$K$10)),),"Choose mgt fee")))</f>
        <v>-56558</v>
      </c>
      <c r="N86" s="3867"/>
      <c r="O86" s="3869"/>
      <c r="Z86" s="2259" t="s">
        <v>6469</v>
      </c>
      <c r="AA86" s="2263">
        <v>86</v>
      </c>
    </row>
    <row r="87" spans="1:27" ht="13.35" customHeight="1">
      <c r="A87" s="21" t="s">
        <v>1129</v>
      </c>
      <c r="B87" s="22">
        <f t="shared" ref="B87:K87" si="38">$B$23*(1+$B$8)^(B78-1)</f>
        <v>-22576.390433367666</v>
      </c>
      <c r="C87" s="22">
        <f t="shared" si="38"/>
        <v>-23253.682146368694</v>
      </c>
      <c r="D87" s="22">
        <f t="shared" si="38"/>
        <v>-23951.292610759756</v>
      </c>
      <c r="E87" s="22">
        <f t="shared" si="38"/>
        <v>-24669.831389082548</v>
      </c>
      <c r="F87" s="22">
        <f t="shared" si="38"/>
        <v>-25409.926330755021</v>
      </c>
      <c r="G87" s="22">
        <f t="shared" si="38"/>
        <v>-26172.224120677674</v>
      </c>
      <c r="H87" s="22">
        <f t="shared" si="38"/>
        <v>-26957.390844298006</v>
      </c>
      <c r="I87" s="22">
        <f t="shared" si="38"/>
        <v>-27766.112569626945</v>
      </c>
      <c r="J87" s="22">
        <f t="shared" si="38"/>
        <v>-28599.095946715752</v>
      </c>
      <c r="K87" s="23">
        <f t="shared" si="38"/>
        <v>-29457.068825117221</v>
      </c>
      <c r="N87" s="3867"/>
      <c r="O87" s="3869"/>
      <c r="Q87" s="958"/>
      <c r="R87" s="1105"/>
      <c r="S87" s="1105"/>
      <c r="Z87" s="2259" t="s">
        <v>6469</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6469</v>
      </c>
      <c r="AA88" s="2263">
        <v>88</v>
      </c>
    </row>
    <row r="89" spans="1:27" ht="13.35" customHeight="1">
      <c r="A89" s="21" t="s">
        <v>1130</v>
      </c>
      <c r="B89" s="22">
        <f t="shared" ref="B89:K89" si="39">SUM(B84:B88)</f>
        <v>65590.940064568509</v>
      </c>
      <c r="C89" s="22">
        <f t="shared" si="39"/>
        <v>62622.483263778297</v>
      </c>
      <c r="D89" s="22">
        <f t="shared" si="39"/>
        <v>59466.240858909703</v>
      </c>
      <c r="E89" s="22">
        <f t="shared" si="39"/>
        <v>56113.774643839381</v>
      </c>
      <c r="F89" s="22">
        <f t="shared" si="39"/>
        <v>52558.413773500397</v>
      </c>
      <c r="G89" s="22">
        <f t="shared" si="39"/>
        <v>48791.246994857916</v>
      </c>
      <c r="H89" s="22">
        <f t="shared" si="39"/>
        <v>44805.114629019459</v>
      </c>
      <c r="I89" s="22">
        <f t="shared" si="39"/>
        <v>40589.600296691875</v>
      </c>
      <c r="J89" s="22">
        <f t="shared" si="39"/>
        <v>36137.02237897068</v>
      </c>
      <c r="K89" s="1538">
        <f t="shared" si="39"/>
        <v>31436.425205185402</v>
      </c>
      <c r="N89" s="3867"/>
      <c r="O89" s="3869"/>
      <c r="Z89" s="2259" t="s">
        <v>6469</v>
      </c>
      <c r="AA89" s="2263">
        <v>89</v>
      </c>
    </row>
    <row r="90" spans="1:27" ht="13.35" customHeight="1">
      <c r="A90" s="21" t="str">
        <f>$A58</f>
        <v>Mortgage A</v>
      </c>
      <c r="B90" s="448">
        <f>IF('Part II-Sources of Funds'!$P$40="", 0,-'Part II-Sources of Funds'!$P$40)</f>
        <v>-68300.795837009136</v>
      </c>
      <c r="C90" s="448">
        <f>IF('Part II-Sources of Funds'!$P$40="", 0,-'Part II-Sources of Funds'!$P$40)</f>
        <v>-68300.795837009136</v>
      </c>
      <c r="D90" s="448">
        <f>IF('Part II-Sources of Funds'!$P$40="", 0,-'Part II-Sources of Funds'!$P$40)</f>
        <v>-68300.795837009136</v>
      </c>
      <c r="E90" s="448">
        <f>IF('Part II-Sources of Funds'!$P$40="", 0,-'Part II-Sources of Funds'!$P$40)</f>
        <v>-68300.795837009136</v>
      </c>
      <c r="F90" s="448">
        <f>IF('Part II-Sources of Funds'!$P$40="", 0,-'Part II-Sources of Funds'!$P$40)</f>
        <v>-68300.795837009136</v>
      </c>
      <c r="G90" s="448">
        <f>IF('Part II-Sources of Funds'!$P$40="", 0,-'Part II-Sources of Funds'!$P$40)</f>
        <v>-68300.795837009136</v>
      </c>
      <c r="H90" s="448">
        <f>IF('Part II-Sources of Funds'!$P$40="", 0,-'Part II-Sources of Funds'!$P$40)</f>
        <v>-68300.795837009136</v>
      </c>
      <c r="I90" s="448">
        <f>IF('Part II-Sources of Funds'!$P$40="", 0,-'Part II-Sources of Funds'!$P$40)</f>
        <v>-68300.795837009136</v>
      </c>
      <c r="J90" s="448">
        <f>IF('Part II-Sources of Funds'!$P$40="", 0,-'Part II-Sources of Funds'!$P$40)</f>
        <v>-68300.795837009136</v>
      </c>
      <c r="K90" s="448">
        <f>IF('Part II-Sources of Funds'!$P$40="", 0,-'Part II-Sources of Funds'!$P$40)</f>
        <v>-68300.795837009136</v>
      </c>
      <c r="N90" s="3867"/>
      <c r="O90" s="3869"/>
      <c r="Z90" s="2259" t="s">
        <v>6469</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6469</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6469</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6469</v>
      </c>
      <c r="AA93" s="2263">
        <v>93</v>
      </c>
    </row>
    <row r="94" spans="1:27" ht="13.35" customHeight="1">
      <c r="A94" s="21" t="s">
        <v>711</v>
      </c>
      <c r="B94" s="173"/>
      <c r="C94" s="173"/>
      <c r="D94" s="173"/>
      <c r="E94" s="173"/>
      <c r="F94" s="173"/>
      <c r="G94" s="173"/>
      <c r="H94" s="173"/>
      <c r="I94" s="173"/>
      <c r="J94" s="173"/>
      <c r="K94" s="173"/>
      <c r="N94" s="3867"/>
      <c r="O94" s="3869"/>
      <c r="Z94" s="2259" t="s">
        <v>6469</v>
      </c>
      <c r="AA94" s="2263">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7"/>
      <c r="O95" s="3869"/>
      <c r="Z95" s="2259" t="s">
        <v>6469</v>
      </c>
      <c r="AA95" s="2263">
        <v>95</v>
      </c>
    </row>
    <row r="96" spans="1:27" ht="13.35" customHeight="1">
      <c r="A96" s="21" t="s">
        <v>1097</v>
      </c>
      <c r="B96" s="22">
        <f t="shared" ref="B96:K96" si="41">SUM(B89:B95)</f>
        <v>-10209.855772440627</v>
      </c>
      <c r="C96" s="22">
        <f t="shared" si="41"/>
        <v>-13178.31257323084</v>
      </c>
      <c r="D96" s="22">
        <f t="shared" si="41"/>
        <v>-16334.554978099433</v>
      </c>
      <c r="E96" s="22">
        <f t="shared" si="41"/>
        <v>-19687.021193169756</v>
      </c>
      <c r="F96" s="22">
        <f t="shared" si="41"/>
        <v>-23242.38206350874</v>
      </c>
      <c r="G96" s="22">
        <f t="shared" si="41"/>
        <v>-27009.54884215122</v>
      </c>
      <c r="H96" s="22">
        <f t="shared" si="41"/>
        <v>-30995.681207989677</v>
      </c>
      <c r="I96" s="22">
        <f t="shared" si="41"/>
        <v>-35211.195540317261</v>
      </c>
      <c r="J96" s="22">
        <f t="shared" si="41"/>
        <v>-39663.773458038457</v>
      </c>
      <c r="K96" s="23">
        <f t="shared" si="41"/>
        <v>-44364.370631823738</v>
      </c>
      <c r="N96" s="3867"/>
      <c r="O96" s="3869"/>
      <c r="Z96" s="2259" t="s">
        <v>6469</v>
      </c>
      <c r="AA96" s="2261">
        <v>96</v>
      </c>
    </row>
    <row r="97" spans="1:27" ht="13.35" customHeight="1">
      <c r="A97" s="21" t="str">
        <f>$A66</f>
        <v>DCR Mortgage A</v>
      </c>
      <c r="B97" s="24">
        <f t="shared" ref="B97:K97" si="42">IF(B90=0,"",-B89/B90)</f>
        <v>0.9603246823227749</v>
      </c>
      <c r="C97" s="24">
        <f t="shared" si="42"/>
        <v>0.91686315651751138</v>
      </c>
      <c r="D97" s="24">
        <f t="shared" si="42"/>
        <v>0.87065223955542281</v>
      </c>
      <c r="E97" s="24">
        <f t="shared" si="42"/>
        <v>0.82156838666635046</v>
      </c>
      <c r="F97" s="24">
        <f t="shared" si="42"/>
        <v>0.76951392922161754</v>
      </c>
      <c r="G97" s="24">
        <f t="shared" si="42"/>
        <v>0.71435839651549315</v>
      </c>
      <c r="H97" s="24">
        <f t="shared" si="42"/>
        <v>0.65599696284565956</v>
      </c>
      <c r="I97" s="24">
        <f t="shared" si="42"/>
        <v>0.59427712077548289</v>
      </c>
      <c r="J97" s="24">
        <f t="shared" si="42"/>
        <v>0.52908640281742736</v>
      </c>
      <c r="K97" s="25">
        <f t="shared" si="42"/>
        <v>0.46026440570625698</v>
      </c>
      <c r="N97" s="3867"/>
      <c r="O97" s="3869"/>
      <c r="Z97" s="2259" t="s">
        <v>6469</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7"/>
      <c r="O98" s="3869"/>
      <c r="Z98" s="2259" t="s">
        <v>6469</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7"/>
      <c r="O99" s="3869"/>
      <c r="Z99" s="2259" t="s">
        <v>6469</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7"/>
      <c r="O100" s="3869"/>
      <c r="Z100" s="2259" t="s">
        <v>6469</v>
      </c>
      <c r="AA100" s="2262">
        <v>100</v>
      </c>
    </row>
    <row r="101" spans="1:27" ht="13.35" customHeight="1">
      <c r="A101" s="447" t="s">
        <v>3217</v>
      </c>
      <c r="B101" s="24">
        <f t="shared" ref="B101:K101" si="46">IF(AND(B90=0,B91=0,B92=0,B93=0),"",-B89/(B90+B91+B92+B93))</f>
        <v>0.9603246823227749</v>
      </c>
      <c r="C101" s="24">
        <f t="shared" si="46"/>
        <v>0.91686315651751138</v>
      </c>
      <c r="D101" s="24">
        <f t="shared" si="46"/>
        <v>0.87065223955542281</v>
      </c>
      <c r="E101" s="24">
        <f t="shared" si="46"/>
        <v>0.82156838666635046</v>
      </c>
      <c r="F101" s="24">
        <f t="shared" si="46"/>
        <v>0.76951392922161754</v>
      </c>
      <c r="G101" s="24">
        <f t="shared" si="46"/>
        <v>0.71435839651549315</v>
      </c>
      <c r="H101" s="24">
        <f t="shared" si="46"/>
        <v>0.65599696284565956</v>
      </c>
      <c r="I101" s="24">
        <f t="shared" si="46"/>
        <v>0.59427712077548289</v>
      </c>
      <c r="J101" s="24">
        <f t="shared" si="46"/>
        <v>0.52908640281742736</v>
      </c>
      <c r="K101" s="25">
        <f t="shared" si="46"/>
        <v>0.46026440570625698</v>
      </c>
      <c r="N101" s="3867"/>
      <c r="O101" s="3869"/>
      <c r="Z101" s="2259" t="s">
        <v>6469</v>
      </c>
      <c r="AA101" s="2263">
        <v>101</v>
      </c>
    </row>
    <row r="102" spans="1:27" ht="13.35" customHeight="1">
      <c r="A102" s="21" t="s">
        <v>718</v>
      </c>
      <c r="B102" s="288">
        <f>IF(OR(B86="Choose mgt fee",B86="Choose One!"),"",(B79+B80+B81+B82+B83) / -(B85+B86+B87))</f>
        <v>1.1532253151987433</v>
      </c>
      <c r="C102" s="288">
        <f t="shared" ref="C102:K102" si="47">IF(OR(C86="Choose mgt fee",C86="Choose One!"),"",(C79+C80+C81+C82+C83) / -(C85+C86+C87))</f>
        <v>1.1420300148817635</v>
      </c>
      <c r="D102" s="288">
        <f t="shared" si="47"/>
        <v>1.1309433658616261</v>
      </c>
      <c r="E102" s="288">
        <f t="shared" si="47"/>
        <v>1.1199623275758785</v>
      </c>
      <c r="F102" s="288">
        <f t="shared" si="47"/>
        <v>1.1090888608798872</v>
      </c>
      <c r="G102" s="288">
        <f t="shared" si="47"/>
        <v>1.0983201446953104</v>
      </c>
      <c r="H102" s="288">
        <f t="shared" si="47"/>
        <v>1.08765797011831</v>
      </c>
      <c r="I102" s="288">
        <f t="shared" si="47"/>
        <v>1.0770976520700013</v>
      </c>
      <c r="J102" s="288">
        <f t="shared" si="47"/>
        <v>1.0666410424266488</v>
      </c>
      <c r="K102" s="289">
        <f t="shared" si="47"/>
        <v>1.0562839803246029</v>
      </c>
      <c r="N102" s="3867"/>
      <c r="O102" s="3869"/>
      <c r="Z102" s="2259" t="s">
        <v>6469</v>
      </c>
      <c r="AA102" s="2263">
        <v>102</v>
      </c>
    </row>
    <row r="103" spans="1:27" ht="13.35" customHeight="1">
      <c r="A103" s="447" t="s">
        <v>2406</v>
      </c>
      <c r="B103" s="232">
        <f>IF('Part II-Sources of Funds'!$I$40="","",-FV('Part II-Sources of Funds'!$K$40/12,12,B90/12,K72))</f>
        <v>-870171.91955387022</v>
      </c>
      <c r="C103" s="232">
        <f>IF('Part II-Sources of Funds'!$I$40="","",-FV('Part II-Sources of Funds'!$K$40/12,12,C90/12,B103))</f>
        <v>-962465.48176393646</v>
      </c>
      <c r="D103" s="232">
        <f>IF('Part II-Sources of Funds'!$I$40="","",-FV('Part II-Sources of Funds'!$K$40/12,12,D90/12,C103))</f>
        <v>-1057215.8388016666</v>
      </c>
      <c r="E103" s="232">
        <f>IF('Part II-Sources of Funds'!$I$40="","",-FV('Part II-Sources of Funds'!$K$40/12,12,E90/12,D103))</f>
        <v>-1154488.3889535794</v>
      </c>
      <c r="F103" s="232">
        <f>IF('Part II-Sources of Funds'!$I$40="","",-FV('Part II-Sources of Funds'!$K$40/12,12,F90/12,E103))</f>
        <v>-1254350.2713662079</v>
      </c>
      <c r="G103" s="232">
        <f>IF('Part II-Sources of Funds'!$I$40="","",-FV('Part II-Sources of Funds'!$K$40/12,12,G90/12,F103))</f>
        <v>-1356870.4123866656</v>
      </c>
      <c r="H103" s="232">
        <f>IF('Part II-Sources of Funds'!$I$40="","",-FV('Part II-Sources of Funds'!$K$40/12,12,H90/12,G103))</f>
        <v>-1462119.5731367676</v>
      </c>
      <c r="I103" s="232">
        <f>IF('Part II-Sources of Funds'!$I$40="","",-FV('Part II-Sources of Funds'!$K$40/12,12,I90/12,H103))</f>
        <v>-1570170.398353545</v>
      </c>
      <c r="J103" s="232">
        <f>IF('Part II-Sources of Funds'!$I$40="","",-FV('Part II-Sources of Funds'!$K$40/12,12,J90/12,I103))</f>
        <v>-1681097.4665298606</v>
      </c>
      <c r="K103" s="232">
        <f>IF('Part II-Sources of Funds'!$I$40="","",-FV('Part II-Sources of Funds'!$K$40/12,12,K90/12,J103))</f>
        <v>-1794977.3413897366</v>
      </c>
      <c r="N103" s="3867"/>
      <c r="O103" s="3869"/>
      <c r="Z103" s="2259" t="s">
        <v>6469</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6469</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6469</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6469</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50" t="s">
        <v>3209</v>
      </c>
      <c r="O108" s="3550"/>
      <c r="AA108" s="2261">
        <v>108</v>
      </c>
    </row>
    <row r="109" spans="1:27" ht="13.35" customHeight="1">
      <c r="A109" s="18" t="s">
        <v>2216</v>
      </c>
      <c r="B109" s="19">
        <f>$B$15*(1+$B$6)^(B108-1)</f>
        <v>634375.05398467649</v>
      </c>
      <c r="C109" s="19">
        <f>$B$15*(1+$B$6)^(C108-1)</f>
        <v>647062.55506436981</v>
      </c>
      <c r="D109" s="19">
        <f>$B$15*(1+$B$6)^(D108-1)</f>
        <v>660003.80616565736</v>
      </c>
      <c r="E109" s="19">
        <f>$B$15*(1+$B$6)^(E108-1)</f>
        <v>673203.88228897052</v>
      </c>
      <c r="F109" s="642">
        <f>$B$15*(1+$B$6)^(F108-1)</f>
        <v>686667.95993474987</v>
      </c>
      <c r="G109" s="17"/>
      <c r="H109" s="17"/>
      <c r="I109" s="17"/>
      <c r="J109" s="17"/>
      <c r="K109" s="17"/>
      <c r="N109" s="3893"/>
      <c r="O109" s="3895"/>
      <c r="Z109" s="2259" t="s">
        <v>6470</v>
      </c>
      <c r="AA109" s="2262">
        <v>109</v>
      </c>
    </row>
    <row r="110" spans="1:27" ht="13.35" customHeight="1">
      <c r="A110" s="21" t="s">
        <v>953</v>
      </c>
      <c r="B110" s="22">
        <f>$B$16*(1+$B$6)^(B108-1)</f>
        <v>12687.501079693529</v>
      </c>
      <c r="C110" s="22">
        <f>$B$16*(1+$B$6)^(C108-1)</f>
        <v>12941.251101287398</v>
      </c>
      <c r="D110" s="22">
        <f>$B$16*(1+$B$6)^(D108-1)</f>
        <v>13200.076123313149</v>
      </c>
      <c r="E110" s="22">
        <f>$B$16*(1+$B$6)^(E108-1)</f>
        <v>13464.077645779413</v>
      </c>
      <c r="F110" s="23">
        <f>$B$16*(1+$B$6)^(F108-1)</f>
        <v>13733.359198695</v>
      </c>
      <c r="G110" s="17"/>
      <c r="H110" s="17"/>
      <c r="I110" s="17"/>
      <c r="J110" s="17"/>
      <c r="K110" s="17"/>
      <c r="N110" s="3867"/>
      <c r="O110" s="3869"/>
      <c r="Z110" s="2259" t="s">
        <v>6470</v>
      </c>
      <c r="AA110" s="2263">
        <v>110</v>
      </c>
    </row>
    <row r="111" spans="1:27" ht="13.35" customHeight="1">
      <c r="A111" s="21" t="s">
        <v>2217</v>
      </c>
      <c r="B111" s="22">
        <f>-(B109+B110)*$B$9</f>
        <v>-45294.378854505907</v>
      </c>
      <c r="C111" s="22">
        <f>-(C109+C110)*$B$9</f>
        <v>-46200.266431596014</v>
      </c>
      <c r="D111" s="22">
        <f>-(D109+D110)*$B$9</f>
        <v>-47124.271760227937</v>
      </c>
      <c r="E111" s="22">
        <f>-(E109+E110)*$B$9</f>
        <v>-48066.757195432496</v>
      </c>
      <c r="F111" s="23">
        <f>-(F109+F110)*$B$9</f>
        <v>-49028.09233934115</v>
      </c>
      <c r="G111" s="17"/>
      <c r="H111" s="17"/>
      <c r="I111" s="17"/>
      <c r="J111" s="17"/>
      <c r="K111" s="17"/>
      <c r="N111" s="3867"/>
      <c r="O111" s="3869"/>
      <c r="Z111" s="2259" t="s">
        <v>6470</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6470</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6470</v>
      </c>
      <c r="AA113" s="2263">
        <v>113</v>
      </c>
    </row>
    <row r="114" spans="1:27" ht="13.35" customHeight="1">
      <c r="A114" s="447" t="s">
        <v>3842</v>
      </c>
      <c r="B114" s="22">
        <f>SUM(B109:B113)</f>
        <v>601768.17620986409</v>
      </c>
      <c r="C114" s="22">
        <f>SUM(C109:C113)</f>
        <v>613803.53973406123</v>
      </c>
      <c r="D114" s="22">
        <f>SUM(D109:D113)</f>
        <v>626079.61052874255</v>
      </c>
      <c r="E114" s="22">
        <f>SUM(E109:E113)</f>
        <v>638601.20273931744</v>
      </c>
      <c r="F114" s="23">
        <f>SUM(F109:F113)</f>
        <v>651373.22679410374</v>
      </c>
      <c r="G114" s="17"/>
      <c r="H114" s="17"/>
      <c r="I114" s="17"/>
      <c r="J114" s="17"/>
      <c r="K114" s="17"/>
      <c r="N114" s="3867"/>
      <c r="O114" s="3869"/>
      <c r="Z114" s="2259" t="s">
        <v>6470</v>
      </c>
      <c r="AA114" s="2263">
        <v>114</v>
      </c>
    </row>
    <row r="115" spans="1:27" ht="13.35" customHeight="1">
      <c r="A115" s="21" t="s">
        <v>572</v>
      </c>
      <c r="B115" s="22">
        <f>$B$21*(1+$B$7)^(B108-1)</f>
        <v>-486692.82536070974</v>
      </c>
      <c r="C115" s="22">
        <f>$B$21*(1+$B$7)^(C108-1)</f>
        <v>-501293.61012153112</v>
      </c>
      <c r="D115" s="22">
        <f>$B$21*(1+$B$7)^(D108-1)</f>
        <v>-516332.41842517693</v>
      </c>
      <c r="E115" s="22">
        <f>$B$21*(1+$B$7)^(E108-1)</f>
        <v>-531822.39097793226</v>
      </c>
      <c r="F115" s="23">
        <f>$B$21*(1+$B$7)^(F108-1)</f>
        <v>-547777.06270727015</v>
      </c>
      <c r="G115" s="17"/>
      <c r="H115" s="17"/>
      <c r="I115" s="17"/>
      <c r="J115" s="17"/>
      <c r="K115" s="17"/>
      <c r="N115" s="3867"/>
      <c r="O115" s="3869"/>
      <c r="Z115" s="2259" t="s">
        <v>6470</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-58254</v>
      </c>
      <c r="C116" s="22">
        <f>IF(AND('Part VI-Pro Forma'!$G$9="Yes",'Part VI-Pro Forma'!$G$10="Yes"),"Choose One!",IF('Part VI-Pro Forma'!$G$9="Yes",ROUND((-$K$9*(1+'Part VI-Pro Forma'!$B$7)^('Part VI-Pro Forma'!C108-1)),),IF('Part VI-Pro Forma'!$G$10="Yes",ROUND((-(SUM(C109:C112)*'Part VI-Pro Forma'!$K$10)),),"Choose mgt fee")))</f>
        <v>-60002</v>
      </c>
      <c r="D116" s="22">
        <f>IF(AND('Part VI-Pro Forma'!$G$9="Yes",'Part VI-Pro Forma'!$G$10="Yes"),"Choose One!",IF('Part VI-Pro Forma'!$G$9="Yes",ROUND((-$K$9*(1+'Part VI-Pro Forma'!$B$7)^('Part VI-Pro Forma'!D108-1)),),IF('Part VI-Pro Forma'!$G$10="Yes",ROUND((-(SUM(D109:D112)*'Part VI-Pro Forma'!$K$10)),),"Choose mgt fee")))</f>
        <v>-61802</v>
      </c>
      <c r="E116" s="22">
        <f>IF(AND('Part VI-Pro Forma'!$G$9="Yes",'Part VI-Pro Forma'!$G$10="Yes"),"Choose One!",IF('Part VI-Pro Forma'!$G$9="Yes",ROUND((-$K$9*(1+'Part VI-Pro Forma'!$B$7)^('Part VI-Pro Forma'!E108-1)),),IF('Part VI-Pro Forma'!$G$10="Yes",ROUND((-(SUM(E109:E112)*'Part VI-Pro Forma'!$K$10)),),"Choose mgt fee")))</f>
        <v>-63656</v>
      </c>
      <c r="F116" s="23">
        <f>IF(AND('Part VI-Pro Forma'!$G$9="Yes",'Part VI-Pro Forma'!$G$10="Yes"),"Choose One!",IF('Part VI-Pro Forma'!$G$9="Yes",ROUND((-$K$9*(1+'Part VI-Pro Forma'!$B$7)^('Part VI-Pro Forma'!F108-1)),),IF('Part VI-Pro Forma'!$G$10="Yes",ROUND((-(SUM(F109:F112)*'Part VI-Pro Forma'!$K$10)),),"Choose mgt fee")))</f>
        <v>-65566</v>
      </c>
      <c r="G116" s="17"/>
      <c r="H116" s="17"/>
      <c r="I116" s="17"/>
      <c r="J116" s="17"/>
      <c r="K116" s="17"/>
      <c r="N116" s="3867"/>
      <c r="O116" s="3869"/>
      <c r="Z116" s="2259" t="s">
        <v>6470</v>
      </c>
      <c r="AA116" s="2263">
        <v>116</v>
      </c>
    </row>
    <row r="117" spans="1:27" ht="13.35" customHeight="1">
      <c r="A117" s="21" t="s">
        <v>1129</v>
      </c>
      <c r="B117" s="22">
        <f>$B$23*(1+$B$8)^(B108-1)</f>
        <v>-30340.780889870737</v>
      </c>
      <c r="C117" s="22">
        <f>$B$23*(1+$B$8)^(C108-1)</f>
        <v>-31251.004316566865</v>
      </c>
      <c r="D117" s="22">
        <f>$B$23*(1+$B$8)^(D108-1)</f>
        <v>-32188.534446063866</v>
      </c>
      <c r="E117" s="22">
        <f>$B$23*(1+$B$8)^(E108-1)</f>
        <v>-33154.190479445781</v>
      </c>
      <c r="F117" s="23">
        <f>$B$23*(1+$B$8)^(F108-1)</f>
        <v>-34148.816193829152</v>
      </c>
      <c r="G117" s="17"/>
      <c r="H117" s="17"/>
      <c r="I117" s="17"/>
      <c r="J117" s="17"/>
      <c r="K117" s="17"/>
      <c r="N117" s="3867"/>
      <c r="O117" s="3869"/>
      <c r="Q117" s="958">
        <v>10</v>
      </c>
      <c r="R117" s="1105">
        <f>-SUM(B123:K123)</f>
        <v>0</v>
      </c>
      <c r="S117" s="1105">
        <f>SUM(B124:K124)+R117</f>
        <v>0</v>
      </c>
      <c r="Z117" s="2259" t="s">
        <v>6470</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6470</v>
      </c>
      <c r="AA118" s="2262">
        <v>118</v>
      </c>
    </row>
    <row r="119" spans="1:27" ht="13.35" customHeight="1">
      <c r="A119" s="21" t="s">
        <v>1130</v>
      </c>
      <c r="B119" s="22">
        <f>SUM(B114:B118)</f>
        <v>26480.56995928361</v>
      </c>
      <c r="C119" s="22">
        <f>SUM(C114:C118)</f>
        <v>21256.925295963239</v>
      </c>
      <c r="D119" s="22">
        <f>SUM(D114:D118)</f>
        <v>15756.657657501746</v>
      </c>
      <c r="E119" s="22">
        <f>SUM(E114:E118)</f>
        <v>9968.6212819393986</v>
      </c>
      <c r="F119" s="1538">
        <f>SUM(F114:F118)</f>
        <v>3881.3478930044439</v>
      </c>
      <c r="G119" s="17"/>
      <c r="H119" s="17"/>
      <c r="I119" s="17"/>
      <c r="J119" s="17"/>
      <c r="K119" s="17"/>
      <c r="N119" s="3867"/>
      <c r="O119" s="3869"/>
      <c r="Z119" s="2259" t="s">
        <v>6470</v>
      </c>
      <c r="AA119" s="2263">
        <v>119</v>
      </c>
    </row>
    <row r="120" spans="1:27" ht="13.35" customHeight="1">
      <c r="A120" s="21" t="str">
        <f>$A90</f>
        <v>Mortgage A</v>
      </c>
      <c r="B120" s="448">
        <f>IF('Part II-Sources of Funds'!$P$40="", 0,-'Part II-Sources of Funds'!$P$40)</f>
        <v>-68300.795837009136</v>
      </c>
      <c r="C120" s="448">
        <f>IF('Part II-Sources of Funds'!$P$40="", 0,-'Part II-Sources of Funds'!$P$40)</f>
        <v>-68300.795837009136</v>
      </c>
      <c r="D120" s="448">
        <f>IF('Part II-Sources of Funds'!$P$40="", 0,-'Part II-Sources of Funds'!$P$40)</f>
        <v>-68300.795837009136</v>
      </c>
      <c r="E120" s="448">
        <f>IF('Part II-Sources of Funds'!$P$40="", 0,-'Part II-Sources of Funds'!$P$40)</f>
        <v>-68300.795837009136</v>
      </c>
      <c r="F120" s="448">
        <f>IF('Part II-Sources of Funds'!$P$40="", 0,-'Part II-Sources of Funds'!$P$40)</f>
        <v>-68300.795837009136</v>
      </c>
      <c r="G120" s="17"/>
      <c r="H120" s="17"/>
      <c r="I120" s="17"/>
      <c r="J120" s="17"/>
      <c r="K120" s="17"/>
      <c r="N120" s="3867"/>
      <c r="O120" s="3869"/>
      <c r="Z120" s="2259" t="s">
        <v>6470</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6470</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6470</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6470</v>
      </c>
      <c r="AA123" s="2262">
        <v>123</v>
      </c>
    </row>
    <row r="124" spans="1:27" ht="13.35" customHeight="1">
      <c r="A124" s="21" t="s">
        <v>711</v>
      </c>
      <c r="B124" s="173"/>
      <c r="C124" s="173"/>
      <c r="D124" s="173"/>
      <c r="E124" s="173"/>
      <c r="F124" s="173"/>
      <c r="G124" s="17"/>
      <c r="H124" s="17"/>
      <c r="I124" s="17"/>
      <c r="J124" s="17"/>
      <c r="K124" s="17"/>
      <c r="N124" s="3867"/>
      <c r="O124" s="3869"/>
      <c r="Z124" s="2259" t="s">
        <v>6470</v>
      </c>
      <c r="AA124" s="2263">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7"/>
      <c r="O125" s="3869"/>
      <c r="Z125" s="2259" t="s">
        <v>6470</v>
      </c>
      <c r="AA125" s="2263">
        <v>125</v>
      </c>
    </row>
    <row r="126" spans="1:27" ht="13.35" customHeight="1">
      <c r="A126" s="21" t="s">
        <v>1097</v>
      </c>
      <c r="B126" s="22">
        <f>SUM(B119:B125)</f>
        <v>-49320.225877725527</v>
      </c>
      <c r="C126" s="22">
        <f>SUM(C119:C125)</f>
        <v>-54543.870541045893</v>
      </c>
      <c r="D126" s="22">
        <f>SUM(D119:D125)</f>
        <v>-60044.13817950739</v>
      </c>
      <c r="E126" s="22">
        <f>SUM(E119:E125)</f>
        <v>-65832.174555069738</v>
      </c>
      <c r="F126" s="23">
        <f>SUM(F119:F125)</f>
        <v>-71919.4479440047</v>
      </c>
      <c r="G126" s="17"/>
      <c r="H126" s="17"/>
      <c r="I126" s="17"/>
      <c r="J126" s="17"/>
      <c r="K126" s="17"/>
      <c r="N126" s="3867"/>
      <c r="O126" s="3869"/>
      <c r="Z126" s="2259" t="s">
        <v>6470</v>
      </c>
      <c r="AA126" s="2263">
        <v>126</v>
      </c>
    </row>
    <row r="127" spans="1:27" ht="13.35" customHeight="1">
      <c r="A127" s="21" t="str">
        <f>$A97</f>
        <v>DCR Mortgage A</v>
      </c>
      <c r="B127" s="24">
        <f>IF(B120=0,"",-B119/B120)</f>
        <v>0.38770514508317011</v>
      </c>
      <c r="C127" s="24">
        <f>IF(C120=0,"",-C119/C120)</f>
        <v>0.31122514804498169</v>
      </c>
      <c r="D127" s="24">
        <f>IF(D120=0,"",-D119/D120)</f>
        <v>0.23069508143218326</v>
      </c>
      <c r="E127" s="24">
        <f>IF(E120=0,"",-E119/E120)</f>
        <v>0.14595175883057354</v>
      </c>
      <c r="F127" s="25">
        <f>IF(F120=0,"",-F119/F120)</f>
        <v>5.6827271855905893E-2</v>
      </c>
      <c r="G127" s="17"/>
      <c r="H127" s="17"/>
      <c r="I127" s="17"/>
      <c r="J127" s="17"/>
      <c r="K127" s="17"/>
      <c r="N127" s="3867"/>
      <c r="O127" s="3869"/>
      <c r="Z127" s="2259" t="s">
        <v>6470</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6470</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6470</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6470</v>
      </c>
      <c r="AA130" s="2263">
        <v>130</v>
      </c>
    </row>
    <row r="131" spans="1:27" ht="13.35" customHeight="1">
      <c r="A131" s="447" t="s">
        <v>3217</v>
      </c>
      <c r="B131" s="24">
        <f>IF(AND(B120=0,B121=0,B122=0,B123=0),"",-B119/(B120+B121+B122+B123))</f>
        <v>0.38770514508317011</v>
      </c>
      <c r="C131" s="24">
        <f>IF(AND(C120=0,C121=0,C122=0,C123=0),"",-C119/(C120+C121+C122+C123))</f>
        <v>0.31122514804498169</v>
      </c>
      <c r="D131" s="24">
        <f>IF(AND(D120=0,D121=0,D122=0,D123=0),"",-D119/(D120+D121+D122+D123))</f>
        <v>0.23069508143218326</v>
      </c>
      <c r="E131" s="24">
        <f>IF(AND(E120=0,E121=0,E122=0,E123=0),"",-E119/(E120+E121+E122+E123))</f>
        <v>0.14595175883057354</v>
      </c>
      <c r="F131" s="25">
        <f>IF(AND(F120=0,F121=0,F122=0,F123=0),"",-F119/(F120+F121+F122+F123))</f>
        <v>5.6827271855905893E-2</v>
      </c>
      <c r="G131" s="17"/>
      <c r="H131" s="17"/>
      <c r="I131" s="17"/>
      <c r="J131" s="17"/>
      <c r="K131" s="17"/>
      <c r="N131" s="3867"/>
      <c r="O131" s="3869"/>
      <c r="Z131" s="2259" t="s">
        <v>6470</v>
      </c>
      <c r="AA131" s="2261">
        <v>131</v>
      </c>
    </row>
    <row r="132" spans="1:27" ht="13.35" customHeight="1">
      <c r="A132" s="21" t="s">
        <v>718</v>
      </c>
      <c r="B132" s="288">
        <f>IF(OR(B116="Choose mgt fee",B116="Choose One!"),"",(B109+B110+B111+B112+B113) / -(B115+B116+B117))</f>
        <v>1.0460301415701789</v>
      </c>
      <c r="C132" s="288">
        <f>IF(OR(C116="Choose mgt fee",C116="Choose One!"),"",(C109+C110+C111+C112+C113) / -(C115+C116+C117))</f>
        <v>1.0358738448216782</v>
      </c>
      <c r="D132" s="288">
        <f>IF(OR(D116="Choose mgt fee",D116="Choose One!"),"",(D109+D110+D111+D112+D113) / -(D115+D116+D117))</f>
        <v>1.025816918048674</v>
      </c>
      <c r="E132" s="288">
        <f>IF(OR(E116="Choose mgt fee",E116="Choose One!"),"",(E109+E110+E111+E112+E113) / -(E115+E116+E117))</f>
        <v>1.0158576274535895</v>
      </c>
      <c r="F132" s="643">
        <f>IF(OR(F116="Choose mgt fee",F116="Choose One!"),"",(F109+F110+F111+F112+F113) / -(F115+F116+F117))</f>
        <v>1.0059944348639425</v>
      </c>
      <c r="G132" s="17"/>
      <c r="H132" s="17"/>
      <c r="I132" s="17"/>
      <c r="J132" s="17"/>
      <c r="K132" s="17"/>
      <c r="N132" s="3867"/>
      <c r="O132" s="3869"/>
      <c r="Z132" s="2259" t="s">
        <v>6470</v>
      </c>
      <c r="AA132" s="2262">
        <v>132</v>
      </c>
    </row>
    <row r="133" spans="1:27" ht="13.35" customHeight="1">
      <c r="A133" s="447" t="s">
        <v>2406</v>
      </c>
      <c r="B133" s="232">
        <f>IF('Part II-Sources of Funds'!$I$40="","",-FV('Part II-Sources of Funds'!$K$40/12,12,B120/12,K103))</f>
        <v>-1911888.6247339225</v>
      </c>
      <c r="C133" s="232">
        <f>IF('Part II-Sources of Funds'!$I$40="","",-FV('Part II-Sources of Funds'!$K$40/12,12,C120/12,B133))</f>
        <v>-2031912.0106921759</v>
      </c>
      <c r="D133" s="232">
        <f>IF('Part II-Sources of Funds'!$I$40="","",-FV('Part II-Sources of Funds'!$K$40/12,12,D120/12,C133))</f>
        <v>-2155130.3414197061</v>
      </c>
      <c r="E133" s="232">
        <f>IF('Part II-Sources of Funds'!$I$40="","",-FV('Part II-Sources of Funds'!$K$40/12,12,E120/12,D133))</f>
        <v>-2281628.6642762185</v>
      </c>
      <c r="F133" s="232">
        <f>IF('Part II-Sources of Funds'!$I$40="","",-FV('Part II-Sources of Funds'!$K$40/12,12,F120/12,E133))</f>
        <v>-2411494.2905270318</v>
      </c>
      <c r="G133" s="17"/>
      <c r="H133" s="17"/>
      <c r="I133" s="17"/>
      <c r="J133" s="17"/>
      <c r="K133" s="17"/>
      <c r="N133" s="3867"/>
      <c r="O133" s="3869"/>
      <c r="Z133" s="2259" t="s">
        <v>6470</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6470</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6470</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6470</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3090</v>
      </c>
      <c r="B140" s="3980"/>
      <c r="C140" s="3980"/>
      <c r="D140" s="3980"/>
      <c r="E140" s="3980"/>
      <c r="F140" s="3981"/>
      <c r="G140" s="3982"/>
      <c r="H140" s="3983"/>
      <c r="I140" s="3983"/>
      <c r="J140" s="3983"/>
      <c r="K140" s="3984"/>
      <c r="N140" s="3488" t="s">
        <v>2453</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abSelected="1" topLeftCell="A301" zoomScaleNormal="100" workbookViewId="0">
      <selection activeCell="P312" sqref="P31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Cypress Reserve, Adel, Cook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6538</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6537</v>
      </c>
      <c r="M5" s="2387" t="str">
        <f>'Part I-Project Identification'!$F$12</f>
        <v>9% Credit Competitive Round only</v>
      </c>
      <c r="N5" s="2388"/>
      <c r="O5" s="2389"/>
      <c r="P5" s="4089"/>
      <c r="Q5" s="3999"/>
      <c r="R5" s="2383"/>
      <c r="S5" s="2383"/>
    </row>
    <row r="6" spans="1:32" ht="17.25" customHeight="1">
      <c r="A6" s="126" t="s">
        <v>6536</v>
      </c>
      <c r="I6" s="633"/>
      <c r="J6" s="633"/>
      <c r="K6" s="4084" t="s">
        <v>3283</v>
      </c>
      <c r="L6" s="4084"/>
      <c r="M6" s="4084"/>
      <c r="N6" s="4084"/>
      <c r="O6" s="4085"/>
      <c r="P6" s="4079"/>
      <c r="Q6" s="4080"/>
      <c r="R6" s="2381"/>
      <c r="S6" s="2381"/>
    </row>
    <row r="7" spans="1:32" ht="12.6" customHeight="1">
      <c r="A7" s="127" t="s">
        <v>3069</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1884</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1873</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1874</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1875</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1876</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1877</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1878</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1879</v>
      </c>
      <c r="B21" s="4060"/>
      <c r="C21" s="4060"/>
      <c r="D21" s="4060"/>
      <c r="E21" s="4060"/>
      <c r="F21" s="4060"/>
      <c r="G21" s="4060"/>
      <c r="H21" s="4060"/>
      <c r="I21" s="4060"/>
      <c r="J21" s="4060"/>
      <c r="K21" s="4060"/>
      <c r="L21" s="4060"/>
      <c r="M21" s="4060"/>
      <c r="N21" s="4060"/>
      <c r="O21" s="4060"/>
      <c r="P21" s="4060"/>
      <c r="Q21" s="4061"/>
    </row>
    <row r="22" spans="1:31" ht="11.25" customHeight="1">
      <c r="A22" s="4059" t="s">
        <v>1880</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1881</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1882</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1883</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 customHeight="1">
      <c r="A27" s="129" t="s">
        <v>689</v>
      </c>
      <c r="B27" s="130" t="s">
        <v>6640</v>
      </c>
      <c r="C27" s="131"/>
      <c r="D27" s="87"/>
      <c r="E27" s="87"/>
      <c r="F27" s="87"/>
      <c r="G27" s="87"/>
      <c r="I27" s="1139"/>
      <c r="J27" s="1139"/>
      <c r="K27" s="1139"/>
      <c r="L27" s="1132"/>
      <c r="M27" s="1132"/>
      <c r="O27" s="132" t="s">
        <v>1731</v>
      </c>
      <c r="P27" s="4021"/>
      <c r="Q27" s="4010"/>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57.75" customHeight="1">
      <c r="A30" s="4000" t="s">
        <v>6989</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1"/>
      <c r="Q34" s="4010"/>
    </row>
    <row r="35" spans="1:31" ht="12.75" customHeight="1">
      <c r="A35" s="2044"/>
      <c r="B35" s="140" t="s">
        <v>6648</v>
      </c>
      <c r="C35" s="4"/>
      <c r="D35" s="4"/>
      <c r="E35" s="2046"/>
      <c r="F35" s="2046"/>
      <c r="H35" s="1133"/>
      <c r="J35" s="3366" t="s">
        <v>2582</v>
      </c>
      <c r="K35" s="3367"/>
      <c r="L35" s="3368"/>
      <c r="M35" s="509" t="s">
        <v>1648</v>
      </c>
      <c r="N35" s="4177"/>
      <c r="O35" s="4178"/>
      <c r="P35" s="4178"/>
      <c r="Q35" s="4179"/>
    </row>
    <row r="36" spans="1:31" ht="12.75" customHeight="1">
      <c r="A36" s="2197"/>
      <c r="B36" s="140" t="s">
        <v>6647</v>
      </c>
      <c r="C36" s="4"/>
      <c r="D36" s="4"/>
      <c r="E36" s="2198"/>
      <c r="F36" s="2198"/>
      <c r="G36" s="2195"/>
      <c r="H36" s="2046"/>
      <c r="J36" s="3366" t="s">
        <v>907</v>
      </c>
      <c r="K36" s="3367"/>
      <c r="L36" s="3368"/>
      <c r="M36" s="509" t="s">
        <v>1648</v>
      </c>
      <c r="N36" s="4177"/>
      <c r="O36" s="4178"/>
      <c r="P36" s="4178"/>
      <c r="Q36" s="4179"/>
    </row>
    <row r="37" spans="1:31" ht="12.75" customHeight="1">
      <c r="B37" s="95" t="s">
        <v>3242</v>
      </c>
      <c r="D37" s="95"/>
      <c r="E37" s="95"/>
      <c r="F37" s="95"/>
      <c r="G37" s="95"/>
      <c r="H37" s="40"/>
      <c r="I37" s="1139"/>
      <c r="J37" s="1139"/>
      <c r="K37" s="2328" t="s">
        <v>1730</v>
      </c>
      <c r="L37" s="1132"/>
      <c r="M37" s="1132"/>
      <c r="N37" s="1132"/>
      <c r="O37" s="1132"/>
      <c r="P37" s="1132"/>
      <c r="Q37" s="877"/>
    </row>
    <row r="38" spans="1:31" ht="10.5" customHeight="1">
      <c r="A38" s="4000" t="s">
        <v>6911</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21"/>
      <c r="Q40" s="4010"/>
    </row>
    <row r="41" spans="1:31" ht="1.5" customHeight="1"/>
    <row r="42" spans="1:31" ht="12" customHeight="1">
      <c r="A42" s="142" t="s">
        <v>1842</v>
      </c>
      <c r="B42" s="4094" t="s">
        <v>3788</v>
      </c>
      <c r="C42" s="4094"/>
      <c r="D42" s="4094"/>
      <c r="E42" s="4094"/>
      <c r="F42" s="4094"/>
      <c r="G42" s="4094"/>
      <c r="H42" s="4094"/>
      <c r="I42" s="4094"/>
      <c r="J42" s="4094"/>
      <c r="K42" s="148"/>
      <c r="L42" s="459" t="s">
        <v>2582</v>
      </c>
      <c r="M42" s="1522">
        <v>2</v>
      </c>
      <c r="N42" s="416" t="s">
        <v>4025</v>
      </c>
      <c r="P42" s="4043" t="s">
        <v>6912</v>
      </c>
      <c r="Q42" s="4055"/>
    </row>
    <row r="43" spans="1:31" ht="12" customHeight="1">
      <c r="A43" s="142"/>
      <c r="B43" s="4094"/>
      <c r="C43" s="4094"/>
      <c r="D43" s="4094"/>
      <c r="E43" s="4094"/>
      <c r="F43" s="4094"/>
      <c r="G43" s="4094"/>
      <c r="H43" s="4094"/>
      <c r="I43" s="4094"/>
      <c r="J43" s="4094"/>
      <c r="K43" s="148"/>
      <c r="L43" s="459" t="s">
        <v>3792</v>
      </c>
      <c r="M43" s="1523">
        <v>4</v>
      </c>
      <c r="O43" s="143"/>
      <c r="P43" s="4044"/>
      <c r="Q43" s="4056"/>
    </row>
    <row r="44" spans="1:31" ht="12" customHeight="1">
      <c r="A44" s="142"/>
      <c r="D44" s="1985"/>
      <c r="E44" s="1985"/>
      <c r="F44" s="1985"/>
      <c r="G44" s="1985"/>
      <c r="H44" s="1985"/>
      <c r="I44" s="1985"/>
      <c r="J44" s="1985"/>
      <c r="K44" s="148"/>
      <c r="L44" s="491" t="s">
        <v>6167</v>
      </c>
      <c r="M44" s="1523"/>
      <c r="O44" s="143"/>
      <c r="P44" s="1997">
        <v>2</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6913</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6912</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6912</v>
      </c>
      <c r="Q48" s="550"/>
    </row>
    <row r="49" spans="1:31" ht="12.75" customHeight="1">
      <c r="A49" s="144"/>
      <c r="B49" s="491" t="s">
        <v>2183</v>
      </c>
      <c r="C49" s="491" t="s">
        <v>3800</v>
      </c>
      <c r="D49" s="134"/>
      <c r="E49" s="134"/>
      <c r="F49" s="134"/>
      <c r="G49" s="134"/>
      <c r="H49" s="134"/>
      <c r="I49" s="42"/>
      <c r="J49" s="42"/>
      <c r="N49" s="416" t="s">
        <v>4029</v>
      </c>
      <c r="O49" s="918"/>
      <c r="P49" s="231" t="s">
        <v>6917</v>
      </c>
      <c r="Q49" s="551"/>
    </row>
    <row r="50" spans="1:31" ht="12.75" customHeight="1">
      <c r="A50" s="144"/>
      <c r="B50" s="491"/>
      <c r="C50" s="416" t="s">
        <v>3801</v>
      </c>
      <c r="D50" s="134"/>
      <c r="E50" s="134"/>
      <c r="F50" s="134"/>
      <c r="G50" s="134"/>
      <c r="H50" s="134"/>
      <c r="I50" s="42"/>
      <c r="J50" s="42"/>
      <c r="L50" s="4066"/>
      <c r="M50" s="4067"/>
      <c r="N50" s="4067"/>
      <c r="O50" s="4067"/>
      <c r="P50" s="4067"/>
      <c r="Q50" s="4068"/>
    </row>
    <row r="51" spans="1:31" ht="12.75" customHeight="1">
      <c r="A51" s="144"/>
      <c r="B51" s="491" t="s">
        <v>1449</v>
      </c>
      <c r="C51" s="4094" t="s">
        <v>3798</v>
      </c>
      <c r="D51" s="4094"/>
      <c r="E51" s="4094"/>
      <c r="F51" s="4094"/>
      <c r="G51" s="4094"/>
      <c r="H51" s="4094"/>
      <c r="I51" s="4094"/>
      <c r="J51" s="4094"/>
      <c r="K51" s="4094"/>
      <c r="L51" s="4094"/>
      <c r="M51" s="543"/>
      <c r="N51" s="416" t="s">
        <v>4030</v>
      </c>
      <c r="O51" s="918"/>
      <c r="P51" s="492" t="s">
        <v>6912</v>
      </c>
      <c r="Q51" s="548"/>
    </row>
    <row r="52" spans="1:31" ht="12.75" customHeight="1">
      <c r="A52" s="47"/>
      <c r="C52" s="4094"/>
      <c r="D52" s="4094"/>
      <c r="E52" s="4094"/>
      <c r="F52" s="4094"/>
      <c r="G52" s="4094"/>
      <c r="H52" s="4094"/>
      <c r="I52" s="4094"/>
      <c r="J52" s="4094"/>
      <c r="K52" s="4094"/>
      <c r="L52" s="4094"/>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10.5" customHeight="1">
      <c r="A54" s="4000" t="s">
        <v>6964</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Rural</v>
      </c>
      <c r="J56" s="2390" t="s">
        <v>6641</v>
      </c>
      <c r="K56" s="967" t="str">
        <f>'Part VIII Scoring Criteria'!$M$59</f>
        <v>Rural</v>
      </c>
      <c r="L56" s="2391" t="s">
        <v>3825</v>
      </c>
      <c r="M56" s="2115" t="str">
        <f>J35</f>
        <v>Family</v>
      </c>
      <c r="O56" s="132" t="s">
        <v>1731</v>
      </c>
      <c r="P56" s="4021"/>
      <c r="Q56" s="4010"/>
    </row>
    <row r="57" spans="1:31" ht="3" customHeight="1"/>
    <row r="58" spans="1:31" ht="12.75" customHeight="1">
      <c r="A58" s="47" t="s">
        <v>1842</v>
      </c>
      <c r="B58" s="39" t="s">
        <v>2265</v>
      </c>
      <c r="D58" s="134"/>
      <c r="E58" s="134"/>
      <c r="F58" s="134"/>
      <c r="G58" s="134"/>
      <c r="H58" s="134"/>
      <c r="I58" s="42"/>
      <c r="J58" s="42"/>
      <c r="K58" s="42"/>
      <c r="L58" s="478" t="s">
        <v>1842</v>
      </c>
      <c r="M58" s="4099" t="s">
        <v>6916</v>
      </c>
      <c r="N58" s="4100"/>
      <c r="O58" s="4100"/>
      <c r="P58" s="4101"/>
      <c r="Q58" s="549"/>
    </row>
    <row r="59" spans="1:31" ht="12.75" customHeight="1">
      <c r="A59" s="47" t="s">
        <v>1844</v>
      </c>
      <c r="B59" s="52" t="s">
        <v>3950</v>
      </c>
      <c r="D59" s="134"/>
      <c r="E59" s="134"/>
      <c r="F59" s="134"/>
      <c r="L59" s="478" t="s">
        <v>1844</v>
      </c>
      <c r="M59" s="4040" t="s">
        <v>6972</v>
      </c>
      <c r="N59" s="4041"/>
      <c r="O59" s="4041"/>
      <c r="P59" s="3596"/>
      <c r="Q59" s="550"/>
    </row>
    <row r="60" spans="1:31" ht="12.75" customHeight="1">
      <c r="A60" s="47" t="s">
        <v>698</v>
      </c>
      <c r="B60" s="52" t="s">
        <v>2559</v>
      </c>
      <c r="D60" s="134"/>
      <c r="E60" s="134"/>
      <c r="F60" s="134"/>
      <c r="L60" s="478" t="s">
        <v>698</v>
      </c>
      <c r="M60" s="4036">
        <v>0.99299999999999999</v>
      </c>
      <c r="N60" s="4037"/>
      <c r="O60" s="4037"/>
      <c r="P60" s="4038"/>
      <c r="Q60" s="550"/>
    </row>
    <row r="61" spans="1:31" ht="12.75" customHeight="1">
      <c r="A61" s="47" t="s">
        <v>1963</v>
      </c>
      <c r="B61" s="52" t="s">
        <v>3306</v>
      </c>
      <c r="D61" s="134"/>
      <c r="E61" s="134"/>
      <c r="F61" s="134"/>
      <c r="J61" s="478" t="s">
        <v>3307</v>
      </c>
      <c r="K61" s="1957">
        <v>0.121</v>
      </c>
      <c r="L61" s="1954"/>
      <c r="M61" s="1956"/>
      <c r="N61" s="1955"/>
      <c r="O61" s="1115" t="s">
        <v>3392</v>
      </c>
      <c r="P61" s="1116" t="s">
        <v>907</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6914</v>
      </c>
      <c r="E64" s="4042" t="s">
        <v>6915</v>
      </c>
      <c r="F64" s="4042"/>
      <c r="G64" s="4042"/>
      <c r="H64" s="478" t="s">
        <v>2183</v>
      </c>
      <c r="I64" s="505"/>
      <c r="J64" s="4042"/>
      <c r="K64" s="4042"/>
      <c r="L64" s="4042"/>
      <c r="M64" s="64" t="s">
        <v>93</v>
      </c>
      <c r="N64" s="505"/>
      <c r="O64" s="4042"/>
      <c r="P64" s="4042"/>
      <c r="Q64" s="4042"/>
    </row>
    <row r="65" spans="1:32" ht="12.75" customHeight="1">
      <c r="C65" s="65" t="s">
        <v>1616</v>
      </c>
      <c r="D65" s="2330"/>
      <c r="E65" s="4154"/>
      <c r="F65" s="4154"/>
      <c r="G65" s="4154"/>
      <c r="H65" s="64" t="s">
        <v>1449</v>
      </c>
      <c r="I65" s="2330"/>
      <c r="J65" s="4154"/>
      <c r="K65" s="4154"/>
      <c r="L65" s="4154"/>
      <c r="M65" s="64" t="s">
        <v>481</v>
      </c>
      <c r="N65" s="2330"/>
      <c r="O65" s="4154"/>
      <c r="P65" s="4154"/>
      <c r="Q65" s="4154"/>
    </row>
    <row r="66" spans="1:32" ht="12.75" customHeight="1">
      <c r="C66" s="65" t="s">
        <v>1617</v>
      </c>
      <c r="D66" s="506"/>
      <c r="E66" s="4093"/>
      <c r="F66" s="4093"/>
      <c r="G66" s="4093"/>
      <c r="H66" s="64" t="s">
        <v>1450</v>
      </c>
      <c r="I66" s="506"/>
      <c r="J66" s="4093"/>
      <c r="K66" s="4093"/>
      <c r="L66" s="4093"/>
      <c r="M66" s="64" t="s">
        <v>482</v>
      </c>
      <c r="N66" s="506"/>
      <c r="O66" s="4093"/>
      <c r="P66" s="4093"/>
      <c r="Q66" s="4093"/>
    </row>
    <row r="67" spans="1:32" ht="12.75" customHeight="1">
      <c r="A67" s="47" t="s">
        <v>1614</v>
      </c>
      <c r="B67" s="52" t="s">
        <v>6110</v>
      </c>
      <c r="D67" s="134"/>
      <c r="E67" s="134"/>
      <c r="F67" s="134"/>
      <c r="G67" s="134"/>
      <c r="H67" s="134"/>
      <c r="I67" s="42"/>
      <c r="J67" s="42"/>
      <c r="K67" s="134"/>
      <c r="L67" s="1135"/>
      <c r="M67" s="1135"/>
      <c r="O67" s="478" t="s">
        <v>1614</v>
      </c>
      <c r="P67" s="1622" t="s">
        <v>2651</v>
      </c>
      <c r="Q67" s="1623"/>
    </row>
    <row r="68" spans="1:32" ht="12.75" customHeight="1">
      <c r="A68" s="47" t="s">
        <v>1808</v>
      </c>
      <c r="B68" s="52" t="s">
        <v>6111</v>
      </c>
      <c r="D68" s="134"/>
      <c r="E68" s="134"/>
      <c r="F68" s="134"/>
      <c r="G68" s="134"/>
      <c r="H68" s="134"/>
      <c r="I68" s="42"/>
      <c r="J68" s="42"/>
      <c r="K68" s="134"/>
      <c r="L68" s="1935"/>
      <c r="M68" s="1935"/>
      <c r="O68" s="478" t="s">
        <v>1808</v>
      </c>
      <c r="P68" s="389" t="s">
        <v>2651</v>
      </c>
      <c r="Q68" s="550"/>
    </row>
    <row r="69" spans="1:32" ht="10.5" customHeight="1">
      <c r="A69" s="47" t="s">
        <v>3006</v>
      </c>
      <c r="B69" s="52" t="s">
        <v>6112</v>
      </c>
      <c r="D69" s="134"/>
      <c r="E69" s="134"/>
      <c r="F69" s="134"/>
      <c r="G69" s="134"/>
      <c r="H69" s="134"/>
      <c r="I69" s="42"/>
      <c r="J69" s="42"/>
      <c r="K69" s="134"/>
      <c r="L69" s="1935"/>
      <c r="M69" s="1935"/>
      <c r="O69" s="478" t="s">
        <v>3006</v>
      </c>
      <c r="P69" s="1116">
        <v>0.95</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00" t="s">
        <v>6991</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 customHeight="1">
      <c r="A74" s="1138" t="s">
        <v>496</v>
      </c>
      <c r="B74" s="1138" t="s">
        <v>2424</v>
      </c>
      <c r="C74" s="1138"/>
      <c r="D74" s="1133"/>
      <c r="E74" s="1133"/>
      <c r="F74" s="1133"/>
      <c r="G74" s="1133"/>
      <c r="H74" s="1133"/>
      <c r="I74" s="1133"/>
      <c r="J74" s="1133"/>
      <c r="K74" s="1133"/>
      <c r="L74" s="1133"/>
      <c r="M74" s="1133"/>
      <c r="O74" s="132" t="s">
        <v>1731</v>
      </c>
      <c r="P74" s="4021"/>
      <c r="Q74" s="4010"/>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66"/>
      <c r="N77" s="4067"/>
      <c r="O77" s="4067"/>
      <c r="P77" s="4163"/>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c r="Q86" s="1623"/>
    </row>
    <row r="87" spans="1:32" ht="12.75" customHeight="1">
      <c r="A87" s="47"/>
      <c r="B87" s="146" t="s">
        <v>1616</v>
      </c>
      <c r="C87" s="52" t="s">
        <v>4076</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00" t="s">
        <v>6992</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 customHeight="1">
      <c r="A92" s="1138" t="s">
        <v>720</v>
      </c>
      <c r="B92" s="1138" t="s">
        <v>2425</v>
      </c>
      <c r="C92" s="40"/>
      <c r="D92" s="1133"/>
      <c r="E92" s="1133"/>
      <c r="F92" s="1133"/>
      <c r="G92" s="1133"/>
      <c r="H92" s="1133"/>
      <c r="I92" s="1133"/>
      <c r="J92" s="1133"/>
      <c r="K92" s="1133"/>
      <c r="L92" s="1133"/>
      <c r="M92" s="1133"/>
      <c r="N92" s="1091" t="s">
        <v>6539</v>
      </c>
      <c r="O92" s="132" t="s">
        <v>1731</v>
      </c>
      <c r="P92" s="4021"/>
      <c r="Q92" s="4010"/>
      <c r="R92" s="1147" t="s">
        <v>6526</v>
      </c>
    </row>
    <row r="93" spans="1:32" ht="6.6" customHeight="1"/>
    <row r="94" spans="1:32">
      <c r="A94" s="47" t="s">
        <v>1842</v>
      </c>
      <c r="B94" s="52" t="s">
        <v>6192</v>
      </c>
      <c r="D94" s="134"/>
      <c r="E94" s="134"/>
      <c r="F94" s="134"/>
      <c r="G94" s="134"/>
      <c r="H94" s="134"/>
      <c r="I94" s="42"/>
      <c r="J94" s="42"/>
      <c r="K94" s="478" t="s">
        <v>1842</v>
      </c>
      <c r="L94" s="4155" t="s">
        <v>6993</v>
      </c>
      <c r="M94" s="4155"/>
      <c r="N94" s="4155"/>
      <c r="O94" s="4155"/>
      <c r="P94" s="4156"/>
      <c r="Q94" s="2365"/>
    </row>
    <row r="95" spans="1:32" ht="12" customHeight="1">
      <c r="B95" s="55" t="s">
        <v>6631</v>
      </c>
      <c r="O95" s="65" t="s">
        <v>1616</v>
      </c>
      <c r="P95" s="2360" t="s">
        <v>2654</v>
      </c>
      <c r="Q95" s="550"/>
    </row>
    <row r="96" spans="1:32" ht="12" customHeight="1">
      <c r="B96" s="55" t="s">
        <v>6527</v>
      </c>
      <c r="I96" s="55" t="s">
        <v>6529</v>
      </c>
      <c r="K96" s="2373">
        <v>44658</v>
      </c>
      <c r="L96" s="2374"/>
      <c r="N96" s="55" t="s">
        <v>6528</v>
      </c>
      <c r="P96" s="2371">
        <v>44700</v>
      </c>
      <c r="Q96" s="2372"/>
    </row>
    <row r="97" spans="1:17" ht="12" customHeight="1">
      <c r="A97" s="47" t="s">
        <v>1844</v>
      </c>
      <c r="B97" s="52" t="s">
        <v>6638</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7" t="s">
        <v>6993</v>
      </c>
      <c r="M99" s="4057"/>
      <c r="N99" s="4057"/>
      <c r="O99" s="4057"/>
      <c r="P99" s="405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6994</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6917</v>
      </c>
      <c r="Q101" s="551"/>
    </row>
    <row r="102" spans="1:17" s="1822" customFormat="1" ht="12" customHeight="1">
      <c r="A102" s="2058" t="s">
        <v>1963</v>
      </c>
      <c r="B102" s="2140" t="s">
        <v>6624</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6626</v>
      </c>
      <c r="E105" s="2056" t="s">
        <v>2241</v>
      </c>
      <c r="F105" s="2140" t="s">
        <v>6627</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6628</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6626</v>
      </c>
      <c r="E108" s="2056" t="s">
        <v>2241</v>
      </c>
      <c r="F108" s="2140" t="s">
        <v>6629</v>
      </c>
      <c r="G108" s="2060"/>
      <c r="H108" s="2140"/>
      <c r="I108" s="2060"/>
      <c r="J108" s="2060"/>
      <c r="K108" s="2449"/>
      <c r="L108" s="2141"/>
      <c r="O108" s="2056" t="s">
        <v>2241</v>
      </c>
      <c r="P108" s="2483"/>
      <c r="Q108" s="2484"/>
    </row>
    <row r="109" spans="1:17" s="1822" customFormat="1" ht="12" customHeight="1">
      <c r="A109" s="2058"/>
      <c r="B109" s="2056"/>
      <c r="E109" s="2056" t="s">
        <v>2242</v>
      </c>
      <c r="F109" s="2140" t="s">
        <v>6630</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3862</v>
      </c>
      <c r="I111" s="52" t="s">
        <v>2502</v>
      </c>
      <c r="J111" s="2362" t="s">
        <v>2654</v>
      </c>
      <c r="K111" s="1623"/>
      <c r="L111" s="478" t="s">
        <v>3866</v>
      </c>
      <c r="M111" s="140" t="s">
        <v>6197</v>
      </c>
      <c r="P111" s="2362" t="s">
        <v>2654</v>
      </c>
      <c r="Q111" s="1623"/>
    </row>
    <row r="112" spans="1:17" ht="12.75" customHeight="1">
      <c r="B112" s="146" t="s">
        <v>1616</v>
      </c>
      <c r="C112" s="52" t="s">
        <v>6193</v>
      </c>
      <c r="E112" s="134"/>
      <c r="F112" s="2360" t="s">
        <v>2654</v>
      </c>
      <c r="G112" s="550"/>
      <c r="H112" s="478" t="s">
        <v>3863</v>
      </c>
      <c r="I112" s="52" t="s">
        <v>6113</v>
      </c>
      <c r="J112" s="2360" t="s">
        <v>2654</v>
      </c>
      <c r="K112" s="550"/>
      <c r="L112" s="478" t="s">
        <v>3867</v>
      </c>
      <c r="M112" s="55" t="s">
        <v>3284</v>
      </c>
      <c r="O112" s="2045"/>
      <c r="P112" s="2360" t="s">
        <v>2654</v>
      </c>
      <c r="Q112" s="550"/>
    </row>
    <row r="113" spans="1:32" ht="12" customHeight="1">
      <c r="A113" s="36"/>
      <c r="B113" s="146" t="s">
        <v>1617</v>
      </c>
      <c r="C113" s="52" t="s">
        <v>6194</v>
      </c>
      <c r="E113" s="134"/>
      <c r="F113" s="2360" t="s">
        <v>2654</v>
      </c>
      <c r="G113" s="550"/>
      <c r="H113" s="478" t="s">
        <v>3864</v>
      </c>
      <c r="I113" s="52" t="s">
        <v>6114</v>
      </c>
      <c r="J113" s="2360" t="s">
        <v>2654</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6195</v>
      </c>
      <c r="J114" s="2363" t="s">
        <v>2654</v>
      </c>
      <c r="K114" s="551"/>
      <c r="L114" s="478" t="s">
        <v>6196</v>
      </c>
      <c r="M114" s="55" t="s">
        <v>6115</v>
      </c>
      <c r="P114" s="2363"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2" customHeight="1">
      <c r="A116" s="36"/>
      <c r="C116" s="4039" t="s">
        <v>907</v>
      </c>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017" t="s">
        <v>1647</v>
      </c>
      <c r="O123" s="4018"/>
      <c r="P123" s="4019" t="s">
        <v>1647</v>
      </c>
      <c r="Q123" s="4020"/>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00" t="s">
        <v>6965</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6539</v>
      </c>
      <c r="O130" s="132" t="s">
        <v>1731</v>
      </c>
      <c r="P130" s="4021"/>
      <c r="Q130" s="4010"/>
      <c r="R130" s="1147" t="s">
        <v>6526</v>
      </c>
    </row>
    <row r="131" spans="1:31" ht="12" customHeight="1">
      <c r="A131" s="47" t="s">
        <v>1842</v>
      </c>
      <c r="B131" s="146" t="s">
        <v>1615</v>
      </c>
      <c r="C131" s="52" t="s">
        <v>6541</v>
      </c>
      <c r="D131" s="52"/>
      <c r="E131" s="52"/>
      <c r="F131" s="52"/>
      <c r="G131" s="52"/>
      <c r="K131" s="52" t="s">
        <v>2461</v>
      </c>
      <c r="M131" s="4045">
        <v>44926</v>
      </c>
      <c r="N131" s="4046"/>
      <c r="O131" s="65" t="s">
        <v>1615</v>
      </c>
      <c r="P131" s="96" t="s">
        <v>2651</v>
      </c>
      <c r="Q131" s="547"/>
    </row>
    <row r="132" spans="1:31" ht="12" customHeight="1">
      <c r="A132" s="47"/>
      <c r="B132" s="146" t="s">
        <v>1616</v>
      </c>
      <c r="C132" s="52" t="s">
        <v>4059</v>
      </c>
      <c r="D132" s="52"/>
      <c r="E132" s="52"/>
      <c r="F132" s="52"/>
      <c r="G132" s="52"/>
      <c r="K132" s="52" t="s">
        <v>2461</v>
      </c>
      <c r="M132" s="4045"/>
      <c r="N132" s="4046"/>
      <c r="O132" s="65" t="s">
        <v>1616</v>
      </c>
      <c r="P132" s="96"/>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5" t="s">
        <v>6962</v>
      </c>
      <c r="N133" s="4096"/>
      <c r="P133" s="4097" t="s">
        <v>1647</v>
      </c>
      <c r="Q133" s="4098"/>
    </row>
    <row r="134" spans="1:31" ht="12" customHeight="1">
      <c r="A134" s="47" t="s">
        <v>698</v>
      </c>
      <c r="B134" s="140" t="s">
        <v>636</v>
      </c>
      <c r="D134" s="140"/>
      <c r="E134" s="140"/>
      <c r="F134" s="140"/>
      <c r="G134" s="140"/>
      <c r="H134" s="140"/>
      <c r="J134" s="478" t="s">
        <v>698</v>
      </c>
      <c r="K134" s="4066" t="s">
        <v>6995</v>
      </c>
      <c r="L134" s="4067"/>
      <c r="M134" s="4067"/>
      <c r="N134" s="4067"/>
      <c r="O134" s="4067"/>
      <c r="P134" s="4068"/>
      <c r="Q134" s="547"/>
    </row>
    <row r="135" spans="1:31" ht="21.75" customHeight="1">
      <c r="A135" s="142" t="s">
        <v>1963</v>
      </c>
      <c r="B135" s="4003" t="s">
        <v>6198</v>
      </c>
      <c r="C135" s="4003"/>
      <c r="D135" s="4003"/>
      <c r="E135" s="4003"/>
      <c r="F135" s="4003"/>
      <c r="G135" s="4003"/>
      <c r="H135" s="4003"/>
      <c r="I135" s="4003"/>
      <c r="J135" s="4003"/>
      <c r="K135" s="4003"/>
      <c r="L135" s="4003"/>
      <c r="M135" s="4003"/>
      <c r="N135" s="4003"/>
      <c r="O135" s="163" t="s">
        <v>1963</v>
      </c>
      <c r="P135" s="1937" t="s">
        <v>6908</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00" t="s">
        <v>6996</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1"/>
      <c r="Q141" s="4010"/>
    </row>
    <row r="142" spans="1:31" ht="21.75" customHeight="1">
      <c r="A142" s="142" t="s">
        <v>1842</v>
      </c>
      <c r="B142" s="4003" t="s">
        <v>3236</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3803</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3836</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00" t="s">
        <v>6997</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7" t="s">
        <v>2428</v>
      </c>
      <c r="C151" s="3947"/>
      <c r="D151" s="3947"/>
      <c r="E151" s="414"/>
      <c r="N151" s="1091" t="s">
        <v>6539</v>
      </c>
      <c r="O151" s="132" t="s">
        <v>1731</v>
      </c>
      <c r="P151" s="4021"/>
      <c r="Q151" s="4010"/>
      <c r="R151" s="1147" t="s">
        <v>6526</v>
      </c>
    </row>
    <row r="152" spans="1:44" s="27" customFormat="1" ht="11.4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6116</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6917</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6917</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11.45" customHeight="1">
      <c r="A165" s="4000" t="s">
        <v>6966</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6539</v>
      </c>
      <c r="O169" s="132" t="s">
        <v>1731</v>
      </c>
      <c r="P169" s="4021"/>
      <c r="Q169" s="4010"/>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c r="K171" s="4100"/>
      <c r="L171" s="4100"/>
      <c r="M171" s="4100"/>
      <c r="N171" s="4107"/>
      <c r="O171" s="65" t="s">
        <v>1615</v>
      </c>
      <c r="P171" s="230"/>
      <c r="Q171" s="549"/>
    </row>
    <row r="172" spans="1:44" ht="12.75" customHeight="1">
      <c r="A172" s="139"/>
      <c r="B172" s="141" t="s">
        <v>3242</v>
      </c>
      <c r="C172" s="105"/>
      <c r="D172" s="105"/>
      <c r="E172" s="105"/>
      <c r="F172" s="105"/>
      <c r="H172" s="65" t="s">
        <v>1616</v>
      </c>
      <c r="I172" s="52" t="s">
        <v>1492</v>
      </c>
      <c r="J172" s="4011" t="s">
        <v>6918</v>
      </c>
      <c r="K172" s="4012"/>
      <c r="L172" s="4012"/>
      <c r="M172" s="4012"/>
      <c r="N172" s="4013"/>
      <c r="O172" s="65" t="s">
        <v>1616</v>
      </c>
      <c r="P172" s="231" t="s">
        <v>2651</v>
      </c>
      <c r="Q172" s="551"/>
    </row>
    <row r="173" spans="1:44" ht="12.75" customHeight="1">
      <c r="A173" s="4000" t="s">
        <v>6967</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6539</v>
      </c>
      <c r="O177" s="132" t="s">
        <v>1731</v>
      </c>
      <c r="P177" s="4021"/>
      <c r="Q177" s="4010"/>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99" t="s">
        <v>6918</v>
      </c>
      <c r="K179" s="4100"/>
      <c r="L179" s="4100"/>
      <c r="M179" s="4100"/>
      <c r="N179" s="4107"/>
      <c r="O179" s="163" t="s">
        <v>1392</v>
      </c>
      <c r="P179" s="1622" t="s">
        <v>2651</v>
      </c>
      <c r="Q179" s="1623"/>
    </row>
    <row r="180" spans="1:44" ht="12.75" customHeight="1">
      <c r="A180" s="151"/>
      <c r="B180" s="4003"/>
      <c r="C180" s="4003"/>
      <c r="D180" s="4003"/>
      <c r="E180" s="4003"/>
      <c r="F180" s="4003"/>
      <c r="G180" s="4003"/>
      <c r="H180" s="65" t="s">
        <v>1616</v>
      </c>
      <c r="I180" s="52" t="s">
        <v>110</v>
      </c>
      <c r="J180" s="4011" t="s">
        <v>6918</v>
      </c>
      <c r="K180" s="4012"/>
      <c r="L180" s="4012"/>
      <c r="M180" s="4012"/>
      <c r="N180" s="4013"/>
      <c r="O180" s="163" t="s">
        <v>1616</v>
      </c>
      <c r="P180" s="2315" t="s">
        <v>2651</v>
      </c>
      <c r="Q180" s="880"/>
    </row>
    <row r="181" spans="1:44" ht="12.75" customHeight="1">
      <c r="A181" s="47" t="s">
        <v>1844</v>
      </c>
      <c r="B181" s="146" t="s">
        <v>1615</v>
      </c>
      <c r="C181" s="52" t="s">
        <v>6508</v>
      </c>
      <c r="E181" s="52"/>
      <c r="F181" s="52"/>
      <c r="G181" s="52"/>
      <c r="H181" s="52"/>
      <c r="I181" s="52"/>
      <c r="J181" s="52"/>
      <c r="K181" s="42"/>
      <c r="L181" s="52"/>
      <c r="M181" s="52"/>
      <c r="O181" s="163" t="s">
        <v>6509</v>
      </c>
      <c r="P181" s="2356" t="s">
        <v>2654</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2654</v>
      </c>
      <c r="Q182" s="551"/>
    </row>
    <row r="183" spans="1:44" ht="12.75" customHeight="1">
      <c r="A183" s="47" t="s">
        <v>698</v>
      </c>
      <c r="B183" s="52" t="s">
        <v>6533</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00" t="s">
        <v>7003</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6912</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9" t="s">
        <v>6919</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050" t="s">
        <v>6920</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6199</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047" t="s">
        <v>6921</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6912</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3155</v>
      </c>
      <c r="O197" s="1560">
        <f>'Part V-Revenues &amp; Expenses'!$P$67</f>
        <v>50</v>
      </c>
      <c r="P197" s="4030" t="s">
        <v>3859</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2" t="s">
        <v>3904</v>
      </c>
      <c r="D199" s="4033"/>
      <c r="E199" s="4033"/>
      <c r="F199" s="4033"/>
      <c r="G199" s="4034"/>
      <c r="H199" s="478" t="s">
        <v>1964</v>
      </c>
      <c r="I199" s="4007" t="s">
        <v>3403</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2" t="s">
        <v>3855</v>
      </c>
      <c r="D200" s="4023"/>
      <c r="E200" s="4023"/>
      <c r="F200" s="4023"/>
      <c r="G200" s="4024"/>
      <c r="H200" s="478" t="s">
        <v>1965</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1541</v>
      </c>
      <c r="D201" s="4023"/>
      <c r="E201" s="4023"/>
      <c r="F201" s="4023"/>
      <c r="G201" s="4024"/>
      <c r="H201" s="478" t="s">
        <v>1612</v>
      </c>
      <c r="I201" s="3408" t="s">
        <v>3403</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52" t="s">
        <v>951</v>
      </c>
      <c r="D202" s="4053"/>
      <c r="E202" s="4053"/>
      <c r="F202" s="4053"/>
      <c r="G202" s="4054"/>
      <c r="H202" s="478" t="s">
        <v>3869</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6912</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6749</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6101</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0" t="s">
        <v>6922</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6118</v>
      </c>
      <c r="C217" s="40"/>
      <c r="D217" s="1932"/>
      <c r="E217" s="1932"/>
      <c r="F217" s="1932"/>
      <c r="G217" s="1932"/>
      <c r="H217" s="1932"/>
      <c r="I217" s="1932"/>
      <c r="J217" s="1932"/>
      <c r="K217" s="2659" t="s">
        <v>6744</v>
      </c>
      <c r="L217" s="1690" t="str">
        <f>'Part I-Project Identification'!$P$29</f>
        <v>No</v>
      </c>
      <c r="M217" s="1932"/>
      <c r="O217" s="132" t="s">
        <v>1731</v>
      </c>
      <c r="P217" s="4021"/>
      <c r="Q217" s="4010"/>
    </row>
    <row r="218" spans="1:44" ht="11.25" customHeight="1">
      <c r="A218" s="142" t="s">
        <v>1842</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1844</v>
      </c>
      <c r="B228" s="1958" t="s">
        <v>6124</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6120</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6119</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907</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66" t="s">
        <v>1647</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6201</v>
      </c>
      <c r="C239" s="4094"/>
      <c r="D239" s="4094"/>
      <c r="E239" s="4094"/>
      <c r="F239" s="4094"/>
      <c r="G239" s="4094"/>
      <c r="H239" s="4094"/>
      <c r="I239" s="4094"/>
      <c r="J239" s="4094"/>
      <c r="K239" s="4094"/>
      <c r="L239" s="4094"/>
      <c r="M239" s="4094"/>
      <c r="N239" s="4094"/>
      <c r="O239" s="407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2"/>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1"/>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6212</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6213</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3247</v>
      </c>
      <c r="C246" s="4165"/>
      <c r="D246" s="4165"/>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6506</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0" t="s">
        <v>907</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2432</v>
      </c>
      <c r="C256" s="4"/>
      <c r="D256" s="87"/>
      <c r="E256" s="87"/>
      <c r="F256" s="87"/>
      <c r="G256" s="87"/>
      <c r="H256" s="1133"/>
      <c r="I256" s="1133"/>
      <c r="J256" s="1133"/>
      <c r="K256" s="1133"/>
      <c r="L256" s="1133"/>
      <c r="M256" s="1133"/>
      <c r="O256" s="132" t="s">
        <v>1731</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4034</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6125</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25.15" customHeight="1">
      <c r="A264" s="4000" t="s">
        <v>6998</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2433</v>
      </c>
      <c r="C268" s="1138"/>
      <c r="D268" s="1133"/>
      <c r="E268" s="1133"/>
      <c r="F268" s="1133"/>
      <c r="G268" s="1133"/>
      <c r="H268" s="1133"/>
      <c r="I268" s="1133"/>
      <c r="J268" s="1133"/>
      <c r="K268" s="1133"/>
      <c r="L268" s="1133"/>
      <c r="M268" s="1133"/>
      <c r="O268" s="132" t="s">
        <v>1731</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6200</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6204</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6912</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6912</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6" t="s">
        <v>3256</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6205</v>
      </c>
      <c r="C275" s="160"/>
      <c r="D275" s="586"/>
      <c r="E275" s="586"/>
      <c r="F275" s="160"/>
      <c r="H275" s="160"/>
      <c r="I275" s="160"/>
      <c r="N275" s="2377" t="s">
        <v>6206</v>
      </c>
      <c r="O275" s="478" t="s">
        <v>698</v>
      </c>
      <c r="P275" s="1160" t="s">
        <v>6912</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0" t="s">
        <v>6923</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2434</v>
      </c>
      <c r="C281" s="149"/>
      <c r="D281" s="1136"/>
      <c r="E281" s="1133"/>
      <c r="F281" s="1133"/>
      <c r="G281" s="1133"/>
      <c r="H281" s="1133"/>
      <c r="I281" s="1133"/>
      <c r="J281" s="1133"/>
      <c r="K281" s="1133"/>
      <c r="L281" s="1133"/>
      <c r="M281" s="1133"/>
      <c r="O281" s="132" t="s">
        <v>1731</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6200</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6207</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6210</v>
      </c>
      <c r="E288" s="4003"/>
      <c r="F288" s="4003"/>
      <c r="G288" s="4003"/>
      <c r="H288" s="4003"/>
      <c r="I288" s="140"/>
      <c r="J288" s="4062" t="s">
        <v>3268</v>
      </c>
      <c r="K288" s="4169"/>
      <c r="L288" s="4169"/>
      <c r="M288" s="4075" t="s">
        <v>3249</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3389</v>
      </c>
      <c r="K290" s="2066">
        <v>3</v>
      </c>
      <c r="L290" s="1001" t="str">
        <f>IF(K290&lt;M290,"Check!!!","")</f>
        <v/>
      </c>
      <c r="M290" s="2068">
        <f>ROUNDUP('Part V-Revenues &amp; Expenses'!$P$67*'Part VII-Threshold Criteria'!N290,0)</f>
        <v>3</v>
      </c>
      <c r="N290" s="1524">
        <f>'DCA Underwriting Assumptions'!$Q$117</f>
        <v>0.05</v>
      </c>
      <c r="O290" s="478" t="s">
        <v>3170</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6211</v>
      </c>
      <c r="E291" s="4003"/>
      <c r="F291" s="4003"/>
      <c r="G291" s="4003"/>
      <c r="H291" s="4003"/>
      <c r="I291" s="869" t="s">
        <v>3390</v>
      </c>
      <c r="J291" s="315"/>
      <c r="K291" s="2067">
        <v>2</v>
      </c>
      <c r="L291" s="1001" t="str">
        <f>IF(K291&lt;M291,"Check!!!","")</f>
        <v/>
      </c>
      <c r="M291" s="2069">
        <f>ROUNDUP(K290*'Part VII-Threshold Criteria'!N291,0)</f>
        <v>2</v>
      </c>
      <c r="N291" s="1524">
        <f>'DCA Underwriting Assumptions'!$Q$118</f>
        <v>0.4</v>
      </c>
      <c r="O291" s="478" t="s">
        <v>1965</v>
      </c>
      <c r="P291" s="4172" t="s">
        <v>2651</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6745</v>
      </c>
      <c r="D293" s="4003"/>
      <c r="E293" s="4003"/>
      <c r="F293" s="4003"/>
      <c r="G293" s="4003"/>
      <c r="H293" s="4003"/>
      <c r="I293" s="52" t="s">
        <v>3391</v>
      </c>
      <c r="J293" s="315"/>
      <c r="K293" s="999">
        <v>1</v>
      </c>
      <c r="L293" s="1001" t="str">
        <f>IF(K293&lt;M293,"Check!!!","")</f>
        <v/>
      </c>
      <c r="M293" s="1002">
        <f>ROUNDUP('Part V-Revenues &amp; Expenses'!$P$67*'Part VII-Threshold Criteria'!N293,0)</f>
        <v>1</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6723</v>
      </c>
      <c r="C297" s="4094"/>
      <c r="D297" s="4094"/>
      <c r="E297" s="4094"/>
      <c r="F297" s="4094"/>
      <c r="G297" s="4094"/>
      <c r="H297" s="4094"/>
      <c r="I297" s="4094"/>
      <c r="J297" s="4094"/>
      <c r="K297" s="4094"/>
      <c r="L297" s="4094"/>
      <c r="M297" s="4094"/>
      <c r="N297" s="4094"/>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130" t="s">
        <v>6924</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3174</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3175</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3173</v>
      </c>
      <c r="D302" s="4003"/>
      <c r="E302" s="4003"/>
      <c r="F302" s="4003"/>
      <c r="G302" s="4003"/>
      <c r="H302" s="4003"/>
      <c r="I302" s="4003"/>
      <c r="J302" s="4003"/>
      <c r="K302" s="4003"/>
      <c r="L302" s="4003"/>
      <c r="M302" s="4003"/>
      <c r="N302" s="4003"/>
      <c r="O302" s="163" t="s">
        <v>3177</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6925</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2435</v>
      </c>
      <c r="C307" s="10"/>
      <c r="D307" s="10"/>
      <c r="E307" s="10"/>
      <c r="F307" s="10"/>
      <c r="G307" s="10"/>
      <c r="H307" s="1133"/>
      <c r="I307" s="1133"/>
      <c r="J307" s="1133"/>
      <c r="K307" s="1133"/>
      <c r="L307" s="1133"/>
      <c r="M307" s="1133"/>
      <c r="O307" s="132" t="s">
        <v>1731</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66" t="s">
        <v>6926</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6675</v>
      </c>
      <c r="C312" s="4003"/>
      <c r="D312" s="4003"/>
      <c r="E312" s="4003"/>
      <c r="F312" s="4003"/>
      <c r="G312" s="4003"/>
      <c r="H312" s="4003"/>
      <c r="I312" s="4003"/>
      <c r="J312" s="4003"/>
      <c r="K312" s="4003"/>
      <c r="L312" s="4003"/>
      <c r="M312" s="4003"/>
      <c r="N312" s="4003"/>
      <c r="O312" s="163" t="s">
        <v>1842</v>
      </c>
      <c r="P312" s="162" t="s">
        <v>6912</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6311</v>
      </c>
      <c r="H314" s="4121"/>
      <c r="I314" s="4121"/>
      <c r="J314" s="4121"/>
      <c r="K314" s="4121"/>
      <c r="L314" s="4121"/>
      <c r="M314" s="4121"/>
      <c r="N314" s="4122"/>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71"/>
      <c r="G315" s="3447" t="s">
        <v>3251</v>
      </c>
      <c r="H315" s="4115"/>
      <c r="I315" s="4115"/>
      <c r="J315" s="4115"/>
      <c r="K315" s="4115"/>
      <c r="L315" s="4115"/>
      <c r="M315" s="4115"/>
      <c r="N315" s="411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164" t="s">
        <v>6127</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7"/>
      <c r="D318" s="4128"/>
      <c r="E318" s="4128"/>
      <c r="F318" s="4128"/>
      <c r="G318" s="4128"/>
      <c r="H318" s="4128"/>
      <c r="I318" s="4128"/>
      <c r="J318" s="4128"/>
      <c r="K318" s="4128"/>
      <c r="L318" s="4128"/>
      <c r="M318" s="4128"/>
      <c r="N318" s="4129"/>
      <c r="O318" s="229" t="s">
        <v>6307</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2"/>
      <c r="D319" s="4053"/>
      <c r="E319" s="4053"/>
      <c r="F319" s="4053"/>
      <c r="G319" s="4053"/>
      <c r="H319" s="4053"/>
      <c r="I319" s="4053"/>
      <c r="J319" s="4053"/>
      <c r="K319" s="4053"/>
      <c r="L319" s="4053"/>
      <c r="M319" s="4053"/>
      <c r="N319" s="4054"/>
      <c r="O319" s="229" t="s">
        <v>6308</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4" t="s">
        <v>6128</v>
      </c>
      <c r="C320" s="4094"/>
      <c r="D320" s="4094"/>
      <c r="E320" s="4094"/>
      <c r="F320" s="4094"/>
      <c r="G320" s="4094"/>
      <c r="H320" s="4094"/>
      <c r="I320" s="4094"/>
      <c r="J320" s="4094"/>
      <c r="K320" s="4094"/>
      <c r="L320" s="4094"/>
      <c r="M320" s="4094"/>
      <c r="N320" s="4094"/>
      <c r="O320" s="163" t="s">
        <v>1963</v>
      </c>
      <c r="P320" s="1937" t="s">
        <v>6912</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00" t="s">
        <v>6927</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6540</v>
      </c>
      <c r="C326" s="1138"/>
      <c r="D326" s="1133"/>
      <c r="E326" s="1133"/>
      <c r="F326" s="1133"/>
      <c r="G326" s="1133"/>
      <c r="H326" s="1133"/>
      <c r="N326" s="1091" t="s">
        <v>6539</v>
      </c>
      <c r="O326" s="132" t="s">
        <v>1731</v>
      </c>
      <c r="P326" s="4021"/>
      <c r="Q326" s="4010"/>
      <c r="R326" s="1147" t="s">
        <v>6526</v>
      </c>
    </row>
    <row r="327" spans="1:256" ht="11.45" customHeight="1">
      <c r="A327" s="47" t="s">
        <v>1842</v>
      </c>
      <c r="B327" s="55" t="s">
        <v>6535</v>
      </c>
      <c r="O327" s="163" t="s">
        <v>1842</v>
      </c>
      <c r="P327" s="230" t="s">
        <v>2651</v>
      </c>
      <c r="Q327" s="549"/>
    </row>
    <row r="328" spans="1:256" ht="11.45" customHeight="1">
      <c r="A328" s="142" t="s">
        <v>1844</v>
      </c>
      <c r="B328" s="55" t="s">
        <v>6542</v>
      </c>
      <c r="O328" s="163" t="s">
        <v>1844</v>
      </c>
      <c r="P328" s="2315" t="s">
        <v>2651</v>
      </c>
      <c r="Q328" s="880"/>
    </row>
    <row r="329" spans="1:256" ht="11.45" customHeight="1">
      <c r="A329" s="142" t="s">
        <v>698</v>
      </c>
      <c r="B329" s="55" t="s">
        <v>6543</v>
      </c>
      <c r="K329" s="2311"/>
      <c r="M329" s="163" t="s">
        <v>698</v>
      </c>
      <c r="N329" s="4123" t="s">
        <v>2654</v>
      </c>
      <c r="O329" s="4124"/>
      <c r="P329" s="4125" t="s">
        <v>1647</v>
      </c>
      <c r="Q329" s="4126"/>
    </row>
    <row r="330" spans="1:256" ht="11.45" customHeight="1">
      <c r="A330" s="47" t="s">
        <v>1963</v>
      </c>
      <c r="B330" s="55" t="s">
        <v>6544</v>
      </c>
      <c r="O330" s="478" t="s">
        <v>1963</v>
      </c>
      <c r="P330" s="2049" t="s">
        <v>2654</v>
      </c>
      <c r="Q330" s="2107"/>
    </row>
    <row r="331" spans="1:256" ht="11.45" customHeight="1">
      <c r="A331" s="142" t="s">
        <v>1613</v>
      </c>
      <c r="B331" s="55" t="s">
        <v>6545</v>
      </c>
      <c r="N331" s="163" t="s">
        <v>1613</v>
      </c>
      <c r="O331" s="4117" t="s">
        <v>4052</v>
      </c>
      <c r="P331" s="4118"/>
      <c r="Q331" s="4119"/>
    </row>
    <row r="332" spans="1:256" ht="11.45" customHeight="1">
      <c r="A332" s="142" t="s">
        <v>1614</v>
      </c>
      <c r="B332" s="434" t="s">
        <v>2171</v>
      </c>
      <c r="N332" s="163" t="s">
        <v>1614</v>
      </c>
      <c r="O332" s="4072" t="s">
        <v>2561</v>
      </c>
      <c r="P332" s="4073"/>
      <c r="Q332" s="4074"/>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24" customHeight="1">
      <c r="A334" s="4000" t="s">
        <v>6968</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7"/>
      <c r="Q338" s="4158"/>
    </row>
    <row r="339" spans="1:44" ht="14.1"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6548</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6693</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50</v>
      </c>
      <c r="F343" s="52" t="s">
        <v>3898</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6694</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50</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6549</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50</v>
      </c>
      <c r="F348" s="52" t="s">
        <v>3898</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00" t="s">
        <v>6928</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1731</v>
      </c>
      <c r="P354" s="4009"/>
      <c r="Q354" s="4010"/>
    </row>
    <row r="355" spans="1:32" ht="10.5" customHeight="1">
      <c r="A355" s="47" t="s">
        <v>1842</v>
      </c>
      <c r="B355" s="135" t="s">
        <v>3361</v>
      </c>
      <c r="D355" s="151"/>
      <c r="E355" s="151"/>
      <c r="F355" s="151"/>
      <c r="G355" s="151"/>
      <c r="H355" s="478" t="s">
        <v>1842</v>
      </c>
      <c r="I355" s="4014" t="s">
        <v>6960</v>
      </c>
      <c r="J355" s="4015"/>
      <c r="K355" s="4015"/>
      <c r="L355" s="4015"/>
      <c r="M355" s="4015"/>
      <c r="N355" s="4015"/>
      <c r="O355" s="4015"/>
      <c r="P355" s="4016"/>
      <c r="Q355" s="549"/>
    </row>
    <row r="356" spans="1:32" ht="10.5" customHeight="1">
      <c r="A356" s="142" t="s">
        <v>1844</v>
      </c>
      <c r="B356" s="135" t="s">
        <v>3362</v>
      </c>
      <c r="D356" s="151"/>
      <c r="E356" s="151"/>
      <c r="F356" s="151"/>
      <c r="G356" s="151"/>
      <c r="H356" s="163" t="s">
        <v>1844</v>
      </c>
      <c r="I356" s="4011" t="s">
        <v>6961</v>
      </c>
      <c r="J356" s="4012"/>
      <c r="K356" s="4012"/>
      <c r="L356" s="4012"/>
      <c r="M356" s="4012"/>
      <c r="N356" s="4012"/>
      <c r="O356" s="4012"/>
      <c r="P356" s="4013"/>
      <c r="Q356" s="551"/>
    </row>
    <row r="357" spans="1:32" ht="21.75" customHeight="1">
      <c r="A357" s="142" t="s">
        <v>698</v>
      </c>
      <c r="B357" s="4162" t="s">
        <v>3353</v>
      </c>
      <c r="C357" s="4162"/>
      <c r="D357" s="4162"/>
      <c r="E357" s="4162"/>
      <c r="F357" s="4162"/>
      <c r="G357" s="4162"/>
      <c r="H357" s="4162"/>
      <c r="I357" s="4162"/>
      <c r="J357" s="4162"/>
      <c r="K357" s="4162"/>
      <c r="L357" s="4162"/>
      <c r="M357" s="4162"/>
      <c r="N357" s="4162"/>
      <c r="O357" s="163" t="s">
        <v>698</v>
      </c>
      <c r="P357" s="1063" t="s">
        <v>2651</v>
      </c>
      <c r="Q357" s="1157"/>
    </row>
    <row r="358" spans="1:32" ht="21.75" customHeight="1">
      <c r="A358" s="142" t="s">
        <v>1963</v>
      </c>
      <c r="B358" s="4003" t="s">
        <v>3354</v>
      </c>
      <c r="C358" s="4003"/>
      <c r="D358" s="4003"/>
      <c r="E358" s="4003"/>
      <c r="F358" s="4003"/>
      <c r="G358" s="4003"/>
      <c r="H358" s="4003"/>
      <c r="I358" s="4003"/>
      <c r="J358" s="4003"/>
      <c r="K358" s="4003"/>
      <c r="L358" s="4003"/>
      <c r="M358" s="4003"/>
      <c r="N358" s="4003"/>
      <c r="O358" s="163" t="s">
        <v>1963</v>
      </c>
      <c r="P358" s="561" t="s">
        <v>2651</v>
      </c>
      <c r="Q358" s="552"/>
    </row>
    <row r="359" spans="1:32" ht="10.5" customHeight="1">
      <c r="A359" s="142" t="s">
        <v>1613</v>
      </c>
      <c r="B359" s="52" t="s">
        <v>3355</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t="s">
        <v>2651</v>
      </c>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t="s">
        <v>2651</v>
      </c>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t="s">
        <v>907</v>
      </c>
      <c r="Q362" s="1144"/>
      <c r="AE362" s="481"/>
      <c r="AF362" s="481"/>
    </row>
    <row r="363" spans="1:32" ht="21.75" customHeight="1">
      <c r="A363" s="142" t="s">
        <v>3006</v>
      </c>
      <c r="B363" s="4003" t="s">
        <v>3358</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t="s">
        <v>2651</v>
      </c>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00" t="s">
        <v>6969</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1"/>
      <c r="Q371" s="4010"/>
      <c r="AF371" s="35"/>
    </row>
    <row r="372" spans="1:32" ht="11.45"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3205</v>
      </c>
      <c r="G374" s="1135"/>
      <c r="H374" s="1135"/>
      <c r="I374" s="1135"/>
      <c r="J374" s="878" t="s">
        <v>3206</v>
      </c>
      <c r="L374" s="1135"/>
      <c r="M374" s="4143">
        <f>'Part II-Sources of Funds'!I6</f>
        <v>0</v>
      </c>
      <c r="N374" s="4144"/>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00" t="s">
        <v>6929</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2436</v>
      </c>
      <c r="C380" s="4"/>
      <c r="D380" s="4"/>
      <c r="E380" s="1133"/>
      <c r="G380" s="140" t="s">
        <v>655</v>
      </c>
      <c r="H380" s="1133"/>
      <c r="I380" s="1133"/>
      <c r="J380" s="1133"/>
      <c r="K380" s="1133"/>
      <c r="L380" s="1133"/>
      <c r="M380" s="1133"/>
      <c r="O380" s="132" t="s">
        <v>1731</v>
      </c>
      <c r="P380" s="4021"/>
      <c r="Q380" s="4133"/>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3146</v>
      </c>
      <c r="D382" s="879"/>
      <c r="E382" s="879"/>
      <c r="O382" s="478" t="s">
        <v>1844</v>
      </c>
      <c r="P382" s="389" t="s">
        <v>2654</v>
      </c>
      <c r="Q382" s="550"/>
      <c r="AF382" s="35"/>
    </row>
    <row r="383" spans="1:32" ht="12" customHeight="1">
      <c r="A383" s="47" t="s">
        <v>698</v>
      </c>
      <c r="B383" s="52" t="s">
        <v>4035</v>
      </c>
      <c r="D383" s="879"/>
      <c r="E383" s="879"/>
      <c r="O383" s="478" t="s">
        <v>698</v>
      </c>
      <c r="P383" s="389" t="s">
        <v>2651</v>
      </c>
      <c r="Q383" s="550"/>
      <c r="AF383" s="35"/>
    </row>
    <row r="384" spans="1:32" ht="12" customHeight="1">
      <c r="A384" s="47" t="s">
        <v>1963</v>
      </c>
      <c r="B384" s="52" t="s">
        <v>3147</v>
      </c>
      <c r="E384" s="140"/>
      <c r="O384" s="478" t="s">
        <v>1963</v>
      </c>
      <c r="P384" s="389" t="s">
        <v>2654</v>
      </c>
      <c r="Q384" s="550"/>
      <c r="AF384" s="35"/>
    </row>
    <row r="385" spans="1:32" ht="12" customHeight="1">
      <c r="A385" s="47" t="s">
        <v>1613</v>
      </c>
      <c r="B385" s="52" t="s">
        <v>1929</v>
      </c>
      <c r="E385" s="140"/>
      <c r="G385" s="478" t="s">
        <v>1613</v>
      </c>
      <c r="H385" s="4182"/>
      <c r="I385" s="4183"/>
      <c r="J385" s="4183"/>
      <c r="K385" s="4183"/>
      <c r="L385" s="4183"/>
      <c r="M385" s="4183"/>
      <c r="N385" s="4183"/>
      <c r="O385" s="4184"/>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00" t="s">
        <v>6970</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1731</v>
      </c>
      <c r="P391" s="4157"/>
      <c r="Q391" s="4158"/>
      <c r="AF391" s="35"/>
    </row>
    <row r="392" spans="1:32" ht="12" customHeight="1">
      <c r="B392" s="55" t="s">
        <v>6257</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2654</v>
      </c>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5"/>
      <c r="Q395" s="4103"/>
      <c r="AF395" s="35"/>
    </row>
    <row r="396" spans="1:32" ht="12" customHeight="1">
      <c r="A396" s="47"/>
      <c r="D396" s="52" t="s">
        <v>6505</v>
      </c>
      <c r="E396" s="52"/>
      <c r="F396" s="52"/>
      <c r="G396" s="52"/>
      <c r="H396" s="52"/>
      <c r="I396" s="52"/>
      <c r="J396" s="52"/>
      <c r="K396" s="52"/>
      <c r="L396" s="52"/>
      <c r="M396" s="52"/>
      <c r="N396" s="42"/>
      <c r="O396" s="1768"/>
      <c r="P396" s="4106"/>
      <c r="Q396" s="4104"/>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3143</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6157</v>
      </c>
      <c r="D400" s="4003"/>
      <c r="E400" s="4003"/>
      <c r="F400" s="4003"/>
      <c r="G400" s="135" t="s">
        <v>3947</v>
      </c>
      <c r="J400" s="919"/>
      <c r="K400" s="556"/>
      <c r="M400" s="135" t="s">
        <v>6231</v>
      </c>
      <c r="P400" s="2316"/>
      <c r="Q400" s="2317"/>
    </row>
    <row r="401" spans="1:44" ht="12" customHeight="1">
      <c r="A401" s="47"/>
      <c r="C401" s="4003"/>
      <c r="D401" s="4003"/>
      <c r="E401" s="4003"/>
      <c r="F401" s="4003"/>
      <c r="G401" s="135" t="s">
        <v>6230</v>
      </c>
      <c r="J401" s="920"/>
      <c r="K401" s="557"/>
      <c r="M401" s="135" t="s">
        <v>6232</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6187</v>
      </c>
      <c r="J403" s="4062" t="s">
        <v>6188</v>
      </c>
      <c r="K403" s="4062" t="s">
        <v>6190</v>
      </c>
      <c r="L403" s="4062"/>
      <c r="M403" s="4062"/>
      <c r="N403" s="4145" t="s">
        <v>6189</v>
      </c>
      <c r="O403" s="478"/>
      <c r="P403" s="3995" t="s">
        <v>6704</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6301</v>
      </c>
      <c r="D405" s="4003"/>
      <c r="E405" s="4003"/>
      <c r="F405" s="4003"/>
      <c r="G405" s="4003"/>
      <c r="H405" s="4003"/>
      <c r="I405" s="1918">
        <f>K290</f>
        <v>3</v>
      </c>
      <c r="J405" s="2318"/>
      <c r="K405" s="4147"/>
      <c r="L405" s="4147"/>
      <c r="M405" s="4148"/>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c r="K408" s="4147"/>
      <c r="L408" s="4147"/>
      <c r="M408" s="4148"/>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6302</v>
      </c>
      <c r="D411" s="4003"/>
      <c r="E411" s="4003"/>
      <c r="F411" s="4003"/>
      <c r="G411" s="4003"/>
      <c r="H411" s="4003"/>
      <c r="I411" s="1918">
        <f>K293</f>
        <v>1</v>
      </c>
      <c r="J411" s="2318"/>
      <c r="K411" s="4147"/>
      <c r="L411" s="4147"/>
      <c r="M411" s="4148"/>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2241</v>
      </c>
      <c r="P415" s="492" t="s">
        <v>1647</v>
      </c>
      <c r="Q415" s="548" t="s">
        <v>1647</v>
      </c>
    </row>
    <row r="416" spans="1:44" ht="12" customHeight="1">
      <c r="A416" s="42"/>
      <c r="B416" s="148"/>
      <c r="D416" s="4181" t="s">
        <v>6235</v>
      </c>
      <c r="E416" s="1506" t="s">
        <v>2264</v>
      </c>
      <c r="F416" s="457" t="s">
        <v>3289</v>
      </c>
      <c r="G416" s="4159"/>
      <c r="H416" s="4160"/>
      <c r="I416" s="4160"/>
      <c r="J416" s="4160"/>
      <c r="K416" s="4161"/>
      <c r="L416" s="1506"/>
    </row>
    <row r="417" spans="1:32" ht="12" customHeight="1">
      <c r="B417" s="148"/>
      <c r="D417" s="4181"/>
      <c r="E417" s="1506" t="s">
        <v>3944</v>
      </c>
      <c r="F417" s="457" t="s">
        <v>3945</v>
      </c>
      <c r="G417" s="4134" t="s">
        <v>3208</v>
      </c>
      <c r="H417" s="4135"/>
      <c r="I417" s="4136"/>
      <c r="J417" s="457" t="s">
        <v>3806</v>
      </c>
      <c r="K417" s="148"/>
      <c r="M417" s="4159"/>
      <c r="N417" s="4160"/>
      <c r="O417" s="4160"/>
      <c r="P417" s="4160"/>
      <c r="Q417" s="4161"/>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45" customHeight="1">
      <c r="B419" s="4151"/>
      <c r="C419" s="4152"/>
      <c r="D419" s="4152"/>
      <c r="E419" s="4152"/>
      <c r="F419" s="4152"/>
      <c r="G419" s="4152"/>
      <c r="H419" s="4152"/>
      <c r="I419" s="4152"/>
      <c r="J419" s="4152"/>
      <c r="K419" s="4152"/>
      <c r="L419" s="4152"/>
      <c r="M419" s="4152"/>
      <c r="N419" s="4152"/>
      <c r="O419" s="4152"/>
      <c r="P419" s="4152"/>
      <c r="Q419" s="4153"/>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6550</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00" t="s">
        <v>6929</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2510</v>
      </c>
      <c r="C428" s="4"/>
      <c r="D428" s="87"/>
      <c r="E428" s="1133"/>
      <c r="F428" s="1133"/>
      <c r="G428" s="1133"/>
      <c r="H428" s="1133"/>
      <c r="O428" s="132" t="s">
        <v>1731</v>
      </c>
      <c r="P428" s="4021"/>
      <c r="Q428" s="4010"/>
    </row>
    <row r="429" spans="1:32" ht="14.1" customHeight="1">
      <c r="B429" s="87" t="s">
        <v>3901</v>
      </c>
      <c r="C429" s="4"/>
      <c r="D429" s="87"/>
      <c r="E429" s="1133"/>
      <c r="F429" s="1133"/>
      <c r="G429" s="1133"/>
      <c r="H429" s="1133"/>
    </row>
    <row r="430" spans="1:32" s="133" customFormat="1" ht="21.75" customHeight="1">
      <c r="A430" s="142" t="s">
        <v>1842</v>
      </c>
      <c r="B430" s="4094" t="s">
        <v>3314</v>
      </c>
      <c r="C430" s="4094"/>
      <c r="D430" s="4094"/>
      <c r="E430" s="4094"/>
      <c r="F430" s="4094"/>
      <c r="G430" s="4094"/>
      <c r="H430" s="4094"/>
      <c r="I430" s="4094"/>
      <c r="J430" s="4094"/>
      <c r="K430" s="4094"/>
      <c r="L430" s="4094"/>
      <c r="M430" s="4094"/>
      <c r="N430" s="4094"/>
      <c r="O430" s="163" t="s">
        <v>1842</v>
      </c>
      <c r="P430" s="1143" t="s">
        <v>6912</v>
      </c>
      <c r="Q430" s="1142"/>
      <c r="AE430" s="481"/>
      <c r="AF430" s="481"/>
    </row>
    <row r="431" spans="1:32" s="133" customFormat="1" ht="22.5" customHeight="1">
      <c r="A431" s="142" t="s">
        <v>1844</v>
      </c>
      <c r="B431" s="4094" t="s">
        <v>3313</v>
      </c>
      <c r="C431" s="4094"/>
      <c r="D431" s="4094"/>
      <c r="E431" s="4094"/>
      <c r="F431" s="4094"/>
      <c r="G431" s="4094"/>
      <c r="H431" s="4094"/>
      <c r="I431" s="4094"/>
      <c r="J431" s="4094"/>
      <c r="K431" s="4094"/>
      <c r="L431" s="4094"/>
      <c r="M431" s="4094"/>
      <c r="N431" s="4094"/>
      <c r="O431" s="163" t="s">
        <v>1844</v>
      </c>
      <c r="P431" s="561" t="s">
        <v>6912</v>
      </c>
      <c r="Q431" s="552"/>
      <c r="AE431" s="481"/>
      <c r="AF431" s="481"/>
    </row>
    <row r="432" spans="1:32" s="133" customFormat="1" ht="22.5" customHeight="1">
      <c r="B432" s="1546" t="s">
        <v>1615</v>
      </c>
      <c r="C432" s="4094" t="s">
        <v>3871</v>
      </c>
      <c r="D432" s="4094"/>
      <c r="E432" s="4094"/>
      <c r="F432" s="4094"/>
      <c r="G432" s="4094"/>
      <c r="H432" s="4094"/>
      <c r="I432" s="4094"/>
      <c r="J432" s="4094"/>
      <c r="K432" s="4094"/>
      <c r="L432" s="4094"/>
      <c r="M432" s="4094"/>
      <c r="N432" s="4094"/>
      <c r="O432" s="163" t="s">
        <v>1615</v>
      </c>
      <c r="P432" s="561" t="s">
        <v>6912</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6912</v>
      </c>
      <c r="Q433" s="550"/>
      <c r="AE433" s="50"/>
      <c r="AF433" s="50"/>
    </row>
    <row r="434" spans="1:32" s="133" customFormat="1" ht="33" customHeight="1">
      <c r="B434" s="491" t="s">
        <v>1617</v>
      </c>
      <c r="C434" s="4094" t="s">
        <v>3873</v>
      </c>
      <c r="D434" s="4094"/>
      <c r="E434" s="4094"/>
      <c r="F434" s="4094"/>
      <c r="G434" s="4094"/>
      <c r="H434" s="4094"/>
      <c r="I434" s="4094"/>
      <c r="J434" s="4094"/>
      <c r="K434" s="4094"/>
      <c r="L434" s="4094"/>
      <c r="M434" s="4094"/>
      <c r="N434" s="4094"/>
      <c r="O434" s="163" t="s">
        <v>1617</v>
      </c>
      <c r="P434" s="561" t="s">
        <v>6912</v>
      </c>
      <c r="Q434" s="552"/>
      <c r="AE434" s="481"/>
      <c r="AF434" s="481"/>
    </row>
    <row r="435" spans="1:32" s="133" customFormat="1" ht="22.5" customHeight="1">
      <c r="B435" s="491" t="s">
        <v>2183</v>
      </c>
      <c r="C435" s="4094" t="s">
        <v>3874</v>
      </c>
      <c r="D435" s="4094"/>
      <c r="E435" s="4094"/>
      <c r="F435" s="4094"/>
      <c r="G435" s="4094"/>
      <c r="H435" s="4094"/>
      <c r="I435" s="4094"/>
      <c r="J435" s="4094"/>
      <c r="K435" s="4094"/>
      <c r="L435" s="4094"/>
      <c r="M435" s="4094"/>
      <c r="N435" s="4094"/>
      <c r="O435" s="163" t="s">
        <v>2183</v>
      </c>
      <c r="P435" s="561" t="s">
        <v>6912</v>
      </c>
      <c r="Q435" s="552"/>
      <c r="AE435" s="481"/>
      <c r="AF435" s="481"/>
    </row>
    <row r="436" spans="1:32" s="133" customFormat="1" ht="22.5" customHeight="1">
      <c r="A436" s="142" t="s">
        <v>698</v>
      </c>
      <c r="B436" s="4094" t="s">
        <v>3315</v>
      </c>
      <c r="C436" s="4094"/>
      <c r="D436" s="4094"/>
      <c r="E436" s="4094"/>
      <c r="F436" s="4094"/>
      <c r="G436" s="4094"/>
      <c r="H436" s="4094"/>
      <c r="I436" s="4094"/>
      <c r="J436" s="4094"/>
      <c r="K436" s="4094"/>
      <c r="L436" s="4094"/>
      <c r="M436" s="4094"/>
      <c r="N436" s="4094"/>
      <c r="O436" s="163" t="s">
        <v>698</v>
      </c>
      <c r="P436" s="561" t="s">
        <v>6912</v>
      </c>
      <c r="Q436" s="552"/>
      <c r="AE436" s="481"/>
      <c r="AF436" s="481"/>
    </row>
    <row r="437" spans="1:32" s="133" customFormat="1" ht="22.5" customHeight="1">
      <c r="A437" s="142" t="s">
        <v>1963</v>
      </c>
      <c r="B437" s="4094" t="s">
        <v>3922</v>
      </c>
      <c r="C437" s="4094"/>
      <c r="D437" s="4094"/>
      <c r="E437" s="4094"/>
      <c r="F437" s="4094"/>
      <c r="G437" s="4094"/>
      <c r="H437" s="4094"/>
      <c r="I437" s="4094"/>
      <c r="J437" s="4094"/>
      <c r="K437" s="4094"/>
      <c r="L437" s="4094"/>
      <c r="M437" s="4094"/>
      <c r="N437" s="4094"/>
      <c r="O437" s="163" t="s">
        <v>1963</v>
      </c>
      <c r="P437" s="561" t="s">
        <v>6912</v>
      </c>
      <c r="Q437" s="552"/>
      <c r="AE437" s="481"/>
      <c r="AF437" s="481"/>
    </row>
    <row r="438" spans="1:32" s="133" customFormat="1" ht="21.75" customHeight="1">
      <c r="A438" s="142" t="s">
        <v>1613</v>
      </c>
      <c r="B438" s="4094" t="s">
        <v>3923</v>
      </c>
      <c r="C438" s="4094"/>
      <c r="D438" s="4094"/>
      <c r="E438" s="4094"/>
      <c r="F438" s="4094"/>
      <c r="G438" s="4094"/>
      <c r="H438" s="4094"/>
      <c r="I438" s="4094"/>
      <c r="J438" s="4094"/>
      <c r="K438" s="4094"/>
      <c r="L438" s="4094"/>
      <c r="M438" s="4094"/>
      <c r="N438" s="4094"/>
      <c r="O438" s="163" t="s">
        <v>1613</v>
      </c>
      <c r="P438" s="561" t="s">
        <v>6912</v>
      </c>
      <c r="Q438" s="552"/>
      <c r="AE438" s="481"/>
      <c r="AF438" s="481"/>
    </row>
    <row r="439" spans="1:32" s="438" customFormat="1" ht="21.75" customHeight="1">
      <c r="A439" s="142" t="s">
        <v>1614</v>
      </c>
      <c r="B439" s="4094" t="s">
        <v>3956</v>
      </c>
      <c r="C439" s="4094"/>
      <c r="D439" s="4094"/>
      <c r="E439" s="4094"/>
      <c r="F439" s="4094"/>
      <c r="G439" s="4094"/>
      <c r="H439" s="4094"/>
      <c r="I439" s="4094"/>
      <c r="J439" s="4094"/>
      <c r="K439" s="4094"/>
      <c r="L439" s="4094"/>
      <c r="M439" s="4094"/>
      <c r="N439" s="4094"/>
      <c r="O439" s="163" t="s">
        <v>1614</v>
      </c>
      <c r="P439" s="1174" t="s">
        <v>6912</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00" t="s">
        <v>6971</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21"/>
      <c r="Q445" s="4010"/>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12" customHeight="1">
      <c r="A447" s="4000" t="s">
        <v>6999</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1978</v>
      </c>
      <c r="J464" s="2502" t="s">
        <v>1604</v>
      </c>
      <c r="N464" s="1023"/>
      <c r="O464" s="1022" t="s">
        <v>3281</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3251</v>
      </c>
      <c r="R490" s="55"/>
      <c r="AE490" s="1024"/>
      <c r="AF490" s="1024"/>
    </row>
    <row r="491" spans="1:32" s="1021" customFormat="1" ht="11.25">
      <c r="A491" s="55"/>
      <c r="B491" s="55"/>
      <c r="C491" s="2504" t="s">
        <v>1131</v>
      </c>
      <c r="K491" s="1021" t="s">
        <v>6208</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6311</v>
      </c>
      <c r="R495" s="55"/>
      <c r="AE495" s="1024"/>
      <c r="AF495" s="1024"/>
    </row>
    <row r="496" spans="1:32" s="1021" customFormat="1" ht="11.25">
      <c r="A496" s="55"/>
      <c r="B496" s="55"/>
      <c r="C496" s="1021" t="s">
        <v>1430</v>
      </c>
      <c r="K496" s="1021" t="s">
        <v>6310</v>
      </c>
      <c r="R496" s="55"/>
      <c r="AE496" s="1024"/>
      <c r="AF496" s="1024"/>
    </row>
    <row r="497" spans="1:32" s="1021" customFormat="1" ht="11.25">
      <c r="A497" s="55"/>
      <c r="B497" s="55"/>
      <c r="C497" s="1021" t="s">
        <v>1966</v>
      </c>
      <c r="K497" s="1021" t="s">
        <v>6209</v>
      </c>
      <c r="R497" s="55"/>
      <c r="AE497" s="1024"/>
      <c r="AF497" s="1024"/>
    </row>
    <row r="498" spans="1:32" s="1021" customFormat="1" ht="11.25">
      <c r="A498" s="55"/>
      <c r="B498" s="55"/>
      <c r="C498" s="1021" t="s">
        <v>162</v>
      </c>
      <c r="K498" s="1021" t="s">
        <v>6312</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2036</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1889</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195" t="s">
        <v>6531</v>
      </c>
      <c r="B2" s="4195"/>
      <c r="C2" s="183"/>
      <c r="D2" s="1474">
        <v>2021</v>
      </c>
      <c r="E2" s="180"/>
      <c r="F2" s="4232" t="s">
        <v>3001</v>
      </c>
      <c r="G2" s="4233"/>
      <c r="H2" s="4233"/>
      <c r="I2" s="4233"/>
      <c r="J2" s="4234"/>
      <c r="K2" s="303"/>
      <c r="L2" s="580" t="s">
        <v>3145</v>
      </c>
      <c r="M2" s="303"/>
      <c r="N2" s="4232" t="s">
        <v>3001</v>
      </c>
      <c r="O2" s="4233"/>
      <c r="P2" s="4233"/>
      <c r="Q2" s="4233"/>
      <c r="R2" s="4234"/>
      <c r="S2" s="313"/>
      <c r="T2" s="180"/>
      <c r="U2" s="180"/>
      <c r="V2" s="970"/>
      <c r="W2" s="970"/>
      <c r="X2" s="970"/>
      <c r="AA2" s="523"/>
      <c r="AB2" s="523"/>
    </row>
    <row r="3" spans="1:28" s="293" customFormat="1" ht="11.45"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6532</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1"/>
      <c r="Q44" s="4010"/>
      <c r="AE44" s="128"/>
      <c r="AF44" s="128"/>
    </row>
    <row r="45" spans="1:295" s="35" customFormat="1" ht="11.25" customHeight="1">
      <c r="A45" s="4203"/>
      <c r="B45" s="4203"/>
      <c r="C45" s="4203"/>
      <c r="D45" s="4203"/>
      <c r="E45" s="4203"/>
      <c r="F45" s="1574"/>
      <c r="G45" s="4186" t="s">
        <v>2466</v>
      </c>
      <c r="H45" s="4187"/>
      <c r="I45" s="635"/>
      <c r="J45" s="42"/>
      <c r="K45" s="4188" t="s">
        <v>3168</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3169</v>
      </c>
      <c r="L46" s="4198"/>
      <c r="M46" s="4198"/>
      <c r="N46" s="4199"/>
      <c r="P46" s="533" t="s">
        <v>2475</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3940</v>
      </c>
      <c r="Q47" s="4201"/>
      <c r="AE47" s="128"/>
      <c r="AF47" s="128"/>
    </row>
    <row r="48" spans="1:295" s="83" customFormat="1" ht="10.5" customHeight="1">
      <c r="D48" s="636" t="s">
        <v>2465</v>
      </c>
      <c r="E48" s="35"/>
      <c r="F48" s="637" t="s">
        <v>3070</v>
      </c>
      <c r="G48" s="4217" t="s">
        <v>3897</v>
      </c>
      <c r="H48" s="4217"/>
      <c r="I48" s="4217"/>
      <c r="J48" s="35"/>
      <c r="K48" s="637" t="s">
        <v>3070</v>
      </c>
      <c r="L48" s="4217" t="s">
        <v>3896</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3" t="str">
        <f>IF(F49="","",F49*G49)</f>
        <v/>
      </c>
      <c r="J49" s="42"/>
      <c r="K49" s="1572" t="str">
        <f>IF('Part V-Revenues &amp; Expenses'!$K$148 =0,"",'Part V-Revenues &amp; Expenses'!$K$148)</f>
        <v/>
      </c>
      <c r="L49" s="843">
        <f>G49*(1+'DCA Underwriting Assumptions'!$Q$12)</f>
        <v>179146.44</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3" t="str">
        <f>IF(F50="","",F50*G50)</f>
        <v/>
      </c>
      <c r="J50" s="42"/>
      <c r="K50" s="1572" t="str">
        <f>IF('Part V-Revenues &amp; Expenses'!$L$148 =0,"",'Part V-Revenues &amp; Expenses'!$L$148)</f>
        <v/>
      </c>
      <c r="L50" s="843">
        <f>G50*(1+'DCA Underwriting Assumptions'!$Q$12)</f>
        <v>222249.11500000002</v>
      </c>
      <c r="M50" s="40" t="str">
        <f>CONCATENATE("x ", K50," units = ")</f>
        <v xml:space="preserve">x  units = </v>
      </c>
      <c r="N50" s="1573" t="str">
        <f>IF(K50="","",K50*L50)</f>
        <v/>
      </c>
      <c r="O50" s="1133"/>
      <c r="P50" s="4208" t="str">
        <f>IF('Part I-Project Identification'!$F$30="","",VLOOKUP('Part I-Project Identification'!$J$30,'DCA Underwriting Assumptions'!$G$136:$N$295,8,FALSE))</f>
        <v>Valdosta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3" t="str">
        <f>IF(F51="","",F51*G51)</f>
        <v/>
      </c>
      <c r="J51" s="42"/>
      <c r="K51" s="1572" t="str">
        <f>IF('Part V-Revenues &amp; Expenses'!$M$148 =0,"",'Part V-Revenues &amp; Expenses'!$M$148)</f>
        <v/>
      </c>
      <c r="L51" s="843">
        <f>G51*(1+'DCA Underwriting Assumptions'!$Q$12)</f>
        <v>266001.67</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3" t="str">
        <f>IF(F52="","",F52*G52)</f>
        <v/>
      </c>
      <c r="J52" s="42"/>
      <c r="K52" s="1572" t="str">
        <f>IF('Part V-Revenues &amp; Expenses'!$N$148 =0,"",'Part V-Revenues &amp; Expenses'!$N$148)</f>
        <v/>
      </c>
      <c r="L52" s="843">
        <f>G52*(1+'DCA Underwriting Assumptions'!$Q$12)</f>
        <v>303483.7300000001</v>
      </c>
      <c r="M52" s="40" t="str">
        <f>CONCATENATE("x ", K52," units = ")</f>
        <v xml:space="preserve">x  units = </v>
      </c>
      <c r="N52" s="1573" t="str">
        <f>IF(K52="","",K52*L52)</f>
        <v/>
      </c>
      <c r="O52" s="1133"/>
      <c r="P52" s="3995" t="s">
        <v>3941</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3" t="str">
        <f>IF(F53="","",F53*G53)</f>
        <v/>
      </c>
      <c r="J53" s="42"/>
      <c r="K53" s="1572" t="str">
        <f>IF('Part V-Revenues &amp; Expenses'!$O$148 =0,"",'Part V-Revenues &amp; Expenses'!$O$148)</f>
        <v/>
      </c>
      <c r="L53" s="843">
        <f>G53*(1+'DCA Underwriting Assumptions'!$Q$12)</f>
        <v>357715.93000000005</v>
      </c>
      <c r="M53" s="40" t="str">
        <f>CONCATENATE("x ", K53," units = ")</f>
        <v xml:space="preserve">x  units = </v>
      </c>
      <c r="N53" s="1573" t="str">
        <f>IF(K53="","",K53*L53)</f>
        <v/>
      </c>
      <c r="O53" s="1133"/>
      <c r="P53" s="4193">
        <f>'Part III-A-Uses of Funds'!$G$146</f>
        <v>13471860</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5" t="s">
        <v>3932</v>
      </c>
      <c r="Q54" s="3995"/>
      <c r="R54" s="4235" t="s">
        <v>6306</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3" t="str">
        <f>IF(F56="","",F56*G56)</f>
        <v/>
      </c>
      <c r="J56" s="42"/>
      <c r="K56" s="1572" t="str">
        <f>IF('Part V-Revenues &amp; Expenses'!$K$150 =0,"",'Part V-Revenues &amp; Expenses'!$K$150)</f>
        <v/>
      </c>
      <c r="L56" s="843">
        <f>G56*(1+'DCA Underwriting Assumptions'!$Q$12)</f>
        <v>153444.72</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13097797</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3" t="str">
        <f>IF(F57="","",F57*G57)</f>
        <v/>
      </c>
      <c r="J57" s="42"/>
      <c r="K57" s="1572" t="str">
        <f>IF('Part V-Revenues &amp; Expenses'!$L$150 =0,"",'Part V-Revenues &amp; Expenses'!$L$150)</f>
        <v/>
      </c>
      <c r="L57" s="843">
        <f>G57*(1+'DCA Underwriting Assumptions'!$Q$12)</f>
        <v>192219.28</v>
      </c>
      <c r="M57" s="40" t="str">
        <f>CONCATENATE("x ", K57," units = ")</f>
        <v xml:space="preserve">x  units = </v>
      </c>
      <c r="N57" s="1573" t="str">
        <f>IF(K57="","",K57*L57)</f>
        <v/>
      </c>
      <c r="P57" s="4212" t="s">
        <v>3367</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3" t="str">
        <f>IF(F58="","",F58*G58)</f>
        <v/>
      </c>
      <c r="J58" s="42"/>
      <c r="K58" s="1572" t="str">
        <f>IF('Part V-Revenues &amp; Expenses'!$M$150 =0,"",'Part V-Revenues &amp; Expenses'!$M$150)</f>
        <v/>
      </c>
      <c r="L58" s="843">
        <f>G58*(1+'DCA Underwriting Assumptions'!$Q$12)</f>
        <v>233115.46500000003</v>
      </c>
      <c r="M58" s="40" t="str">
        <f>CONCATENATE("x ", K58," units = ")</f>
        <v xml:space="preserve">x  units = </v>
      </c>
      <c r="N58" s="1573" t="str">
        <f>IF(K58="","",K58*L58)</f>
        <v/>
      </c>
      <c r="O58" s="578"/>
      <c r="P58" s="4213"/>
      <c r="Q58" s="4214"/>
      <c r="R58" s="430"/>
      <c r="S58" s="4218" t="s">
        <v>3935</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3" t="str">
        <f>IF(F59="","",F59*G59)</f>
        <v/>
      </c>
      <c r="J59" s="42"/>
      <c r="K59" s="1572" t="str">
        <f>IF('Part V-Revenues &amp; Expenses'!$N$150 =0,"",'Part V-Revenues &amp; Expenses'!$N$150)</f>
        <v/>
      </c>
      <c r="L59" s="843">
        <f>G59*(1+'DCA Underwriting Assumptions'!$Q$12)</f>
        <v>272496.84000000003</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3" t="str">
        <f>IF(F60="","",F60*G60)</f>
        <v/>
      </c>
      <c r="J60" s="42"/>
      <c r="K60" s="1572" t="str">
        <f>IF('Part V-Revenues &amp; Expenses'!$O$150 =0,"",'Part V-Revenues &amp; Expenses'!$O$150)</f>
        <v/>
      </c>
      <c r="L60" s="843">
        <f>G60*(1+'DCA Underwriting Assumptions'!$Q$12)</f>
        <v>323097.83000000007</v>
      </c>
      <c r="M60" s="40" t="str">
        <f>CONCATENATE("x ", K60," units = ")</f>
        <v xml:space="preserve">x  units = </v>
      </c>
      <c r="N60" s="1573" t="str">
        <f>IF(K60="","",K60*L60)</f>
        <v/>
      </c>
      <c r="O60" s="578"/>
      <c r="P60" s="4196" t="s">
        <v>3164</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136783.67999999999</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10</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10 units = </v>
      </c>
      <c r="I64" s="1573">
        <f>IF(F64="","",F64*G64)</f>
        <v>1622213</v>
      </c>
      <c r="J64" s="42"/>
      <c r="K64" s="1572" t="str">
        <f>IF('Part V-Revenues &amp; Expenses'!$L$152 =0,"",'Part V-Revenues &amp; Expenses'!$L$152)</f>
        <v/>
      </c>
      <c r="L64" s="843">
        <f>G64*(1+'DCA Underwriting Assumptions'!$Q$12)</f>
        <v>178443.43</v>
      </c>
      <c r="M64" s="40" t="str">
        <f>CONCATENATE("x ", K64," units = ")</f>
        <v xml:space="preserve">x  units = </v>
      </c>
      <c r="N64" s="1573" t="str">
        <f>IF(K64="","",K64*L64)</f>
        <v/>
      </c>
      <c r="P64" s="4196" t="s">
        <v>3165</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24 units = </v>
      </c>
      <c r="I65" s="1573">
        <f>IF(F65="","",F65*G65)</f>
        <v>4922901.5999999996</v>
      </c>
      <c r="J65" s="42"/>
      <c r="K65" s="1572" t="str">
        <f>IF('Part V-Revenues &amp; Expenses'!$M$152 =0,"",'Part V-Revenues &amp; Expenses'!$M$152)</f>
        <v/>
      </c>
      <c r="L65" s="843">
        <f>G65*(1+'DCA Underwriting Assumptions'!$Q$12)</f>
        <v>225632.99000000002</v>
      </c>
      <c r="M65" s="40" t="str">
        <f>CONCATENATE("x ", K65," units = ")</f>
        <v xml:space="preserve">x  units = </v>
      </c>
      <c r="N65" s="1573"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16</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16 units = </v>
      </c>
      <c r="I66" s="1573">
        <f>IF(F66="","",F66*G66)</f>
        <v>4132198.4000000004</v>
      </c>
      <c r="J66" s="42"/>
      <c r="K66" s="1572" t="str">
        <f>IF('Part V-Revenues &amp; Expenses'!$N$152 =0,"",'Part V-Revenues &amp; Expenses'!$N$152)</f>
        <v/>
      </c>
      <c r="L66" s="843">
        <f>G66*(1+'DCA Underwriting Assumptions'!$Q$12)</f>
        <v>284088.64000000007</v>
      </c>
      <c r="M66" s="40" t="str">
        <f>CONCATENATE("x ", K66," units = ")</f>
        <v xml:space="preserve">x  units = </v>
      </c>
      <c r="N66" s="1573" t="str">
        <f>IF(K66="","",K66*L66)</f>
        <v/>
      </c>
      <c r="O66" s="578"/>
      <c r="P66" s="1113">
        <f>'Part VIII Scoring Criteria'!O112</f>
        <v>2</v>
      </c>
      <c r="Q66" s="1113">
        <f>'Part VIII Scoring Criteria'!P112</f>
        <v>3</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3" t="str">
        <f>IF(F67="","",F67*G67)</f>
        <v/>
      </c>
      <c r="J67" s="42"/>
      <c r="K67" s="1572" t="str">
        <f>IF('Part V-Revenues &amp; Expenses'!$O$152 =0,"",'Part V-Revenues &amp; Expenses'!$O$152)</f>
        <v/>
      </c>
      <c r="L67" s="843">
        <f>G67*(1+'DCA Underwriting Assumptions'!$Q$12)</f>
        <v>351664.72000000003</v>
      </c>
      <c r="M67" s="40" t="str">
        <f>CONCATENATE("x ", K67," units = ")</f>
        <v xml:space="preserve">x  units = </v>
      </c>
      <c r="N67" s="1573"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50</v>
      </c>
      <c r="G68" s="638"/>
      <c r="H68" s="1107"/>
      <c r="I68" s="1108">
        <f>SUM(I63:I67)</f>
        <v>10677313</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3" t="str">
        <f>IF(F70="","",F70*G70)</f>
        <v/>
      </c>
      <c r="J70" s="42"/>
      <c r="K70" s="1572" t="str">
        <f>IF('Part V-Revenues &amp; Expenses'!$K$154 =0,"",'Part V-Revenues &amp; Expenses'!$K$154)</f>
        <v/>
      </c>
      <c r="L70" s="843">
        <f>G70*(1+'DCA Underwriting Assumptions'!$Q$12)</f>
        <v>139592.64000000001</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3" t="str">
        <f>IF(F71="","",F71*G71)</f>
        <v/>
      </c>
      <c r="J71" s="42"/>
      <c r="K71" s="1572" t="str">
        <f>IF('Part V-Revenues &amp; Expenses'!$L$154 =0,"",'Part V-Revenues &amp; Expenses'!$L$154)</f>
        <v/>
      </c>
      <c r="L71" s="843">
        <f>G71*(1+'DCA Underwriting Assumptions'!$Q$12)</f>
        <v>187285.78</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10677313</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3" t="str">
        <f>IF(F72="","",F72*G72)</f>
        <v/>
      </c>
      <c r="J72" s="42"/>
      <c r="K72" s="1572" t="str">
        <f>IF('Part V-Revenues &amp; Expenses'!$M$154 =0,"",'Part V-Revenues &amp; Expenses'!$M$154)</f>
        <v/>
      </c>
      <c r="L72" s="843">
        <f>G72*(1+'DCA Underwriting Assumptions'!$Q$12)</f>
        <v>240796.54500000001</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3" t="str">
        <f>IF(F73="","",F73*G73)</f>
        <v/>
      </c>
      <c r="J73" s="42"/>
      <c r="K73" s="1572" t="str">
        <f>IF('Part V-Revenues &amp; Expenses'!$N$154 =0,"",'Part V-Revenues &amp; Expenses'!$N$154)</f>
        <v/>
      </c>
      <c r="L73" s="843">
        <f>G73*(1+'DCA Underwriting Assumptions'!$Q$12)</f>
        <v>307102.84000000003</v>
      </c>
      <c r="M73" s="40" t="str">
        <f>CONCATENATE("x ", K73," units = ")</f>
        <v xml:space="preserve">x  units = </v>
      </c>
      <c r="N73" s="1573" t="str">
        <f>IF(K73="","",K73*L73)</f>
        <v/>
      </c>
      <c r="P73" s="4227" t="s">
        <v>3451</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3" t="str">
        <f>IF(F74="","",F74*G74)</f>
        <v/>
      </c>
      <c r="J74" s="42"/>
      <c r="K74" s="1572" t="str">
        <f>IF('Part V-Revenues &amp; Expenses'!$O$154 =0,"",'Part V-Revenues &amp; Expenses'!$O$154)</f>
        <v/>
      </c>
      <c r="L74" s="843">
        <f>G74*(1+'DCA Underwriting Assumptions'!$Q$12)</f>
        <v>383878.55000000005</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50</v>
      </c>
      <c r="G77" s="341"/>
      <c r="H77" s="4236">
        <f>I54+I61+I68+I75</f>
        <v>10677313</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7"/>
  <sheetViews>
    <sheetView showGridLines="0" topLeftCell="A31" zoomScaleNormal="100" workbookViewId="0">
      <selection activeCell="A164" sqref="A164:P164"/>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Cypress Reserve, Adel, Cook County</v>
      </c>
      <c r="B1" s="3621"/>
      <c r="C1" s="3621"/>
      <c r="D1" s="3621"/>
      <c r="E1" s="3621"/>
      <c r="F1" s="3621"/>
      <c r="G1" s="3621"/>
      <c r="H1" s="3621"/>
      <c r="I1" s="3621"/>
      <c r="J1" s="3621"/>
      <c r="K1" s="3621"/>
      <c r="L1" s="3621"/>
      <c r="M1" s="3621"/>
      <c r="N1" s="3621"/>
      <c r="O1" s="3621"/>
      <c r="P1" s="3622"/>
      <c r="Q1" s="4532" t="s">
        <v>6652</v>
      </c>
      <c r="R1" s="4532"/>
      <c r="S1" s="4532"/>
      <c r="T1" s="4532"/>
      <c r="U1" s="4532"/>
      <c r="V1" s="4532"/>
      <c r="W1" s="2662"/>
      <c r="X1" s="2601"/>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6666</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71.5</v>
      </c>
      <c r="P6" s="2099">
        <f>P441</f>
        <v>25</v>
      </c>
      <c r="Q6" s="2656" t="s">
        <v>6743</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448" t="s">
        <v>6500</v>
      </c>
      <c r="G12" s="4448"/>
      <c r="H12" s="4448"/>
      <c r="I12" s="4448"/>
      <c r="J12" s="4448"/>
      <c r="K12" s="4448"/>
      <c r="L12" s="4448"/>
      <c r="M12" s="4448"/>
      <c r="N12" s="4448"/>
      <c r="O12" s="1520" t="s">
        <v>3814</v>
      </c>
      <c r="P12" s="1521">
        <f>SUM(P13:P31)</f>
        <v>0</v>
      </c>
      <c r="Q12" s="4531" t="s">
        <v>6552</v>
      </c>
      <c r="R12" s="4531"/>
      <c r="S12" s="4531"/>
      <c r="T12" s="4531"/>
      <c r="U12" s="4531"/>
      <c r="V12" s="1495"/>
    </row>
    <row r="13" spans="1:25" s="42" customFormat="1" ht="10.5" customHeight="1">
      <c r="A13" s="1183" t="s">
        <v>1669</v>
      </c>
      <c r="B13" s="1180" t="s">
        <v>3396</v>
      </c>
      <c r="C13" s="1181"/>
      <c r="D13" s="1182"/>
      <c r="E13" s="1514">
        <f>$O$102</f>
        <v>20</v>
      </c>
      <c r="F13" s="4449" t="str">
        <f>$A$108</f>
        <v>The project is eligible to receive the full 20 desirable points. The proposed development's site location is within close proximity to numerous amenities, including a a medical care provider, restaurant, Federally Insured Banking Institution, retail stores, pharmacy, child care service, grocery store,church, public park and a police station. Please see Tab 27 for the desirable certification and all backup documentation. There are no undesirables. Project is not located in a USDA Food desert.</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4042</v>
      </c>
      <c r="C14" s="1102"/>
      <c r="D14" s="1184"/>
      <c r="E14" s="2329">
        <f>$O$112</f>
        <v>2</v>
      </c>
      <c r="F14" s="4442" t="str">
        <f>$A$146</f>
        <v>Please see Tab 28 for the Community Transportation documentations. The proposed application is located in the Rural pool and on-call service on-site transportation will be provided by MIDS Transportation.</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3341</v>
      </c>
      <c r="C15" s="1102"/>
      <c r="D15" s="1184"/>
      <c r="E15" s="2329">
        <f>$O$151</f>
        <v>1.5</v>
      </c>
      <c r="F15" s="4442" t="str">
        <f>$A$164</f>
        <v>See Tab 29 for Quality Education Area details. Both the Cook Primary School and Cook County Middle School recieved BTO in 2019 have an average year-over-year positive change in CCRPI score between 2015 and 2019 and average score for that time period is above the DCA threshold. The two schools serve grades between Kindergarten and 12th grade per the 2022 QAP and serve a combined seven grade levels, therefore the development is eligible for 1.5 points.</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3397</v>
      </c>
      <c r="C16" s="1102"/>
      <c r="D16" s="1184"/>
      <c r="E16" s="1516">
        <f>$O$168</f>
        <v>6</v>
      </c>
      <c r="F16" s="4442" t="str">
        <f>$A$185</f>
        <v xml:space="preserve">The Community Revitalization Plan clearly delineates Targeted Area within a Local Government boundary that includes the proposed site. This plan also discusses housing as a goal, an assessment of the Targeted Area's existing infrastructiure, and designates implementation measures. Third Party capital improvements include GDOT project 0016257 Val Del Road Improvement. Total funding amount is $2,007,500 with approximately $421,575 of the total within one half mile of the proposed site. Additional road improvement investments as part of the LMIG resurfacing program of $408,660.50, Cook County investment of $10,000 toward the updating and renovation of the local Department of Family Children Service Building, $8,500 in improvements to the 11th Street water well and $165,000 for the Legacy Behavior Health Services. Total Third Party Capital Investment within one half mile of the proposed Cypress Reserve Location is $1,013,735.50. Please see Tab 30 for support documentation for third party capital investment. </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3398</v>
      </c>
      <c r="C17" s="1191"/>
      <c r="D17" s="1192"/>
      <c r="E17" s="1517" t="s">
        <v>1611</v>
      </c>
      <c r="F17" s="4452" t="str">
        <f>$A$200</f>
        <v>Applicant is claiming points in this section. Please see Tab 31 for community transformation rubric, plan certificate and support documentation.</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4043</v>
      </c>
      <c r="C18" s="1102"/>
      <c r="D18" s="1184"/>
      <c r="E18" s="1515">
        <f>$O$204</f>
        <v>0</v>
      </c>
      <c r="F18" s="4442" t="str">
        <f>$A$219</f>
        <v xml:space="preserve">Applicant is not requesting points in this section. </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4045</v>
      </c>
      <c r="B19" s="953" t="s">
        <v>3264</v>
      </c>
      <c r="C19" s="1102"/>
      <c r="D19" s="1184"/>
      <c r="E19" s="1515">
        <f>$O$232</f>
        <v>0</v>
      </c>
      <c r="F19" s="4442" t="str">
        <f>$A$237</f>
        <v xml:space="preserve">Applicant is not requesting points in this section </v>
      </c>
      <c r="G19" s="4443"/>
      <c r="H19" s="4443"/>
      <c r="I19" s="4443"/>
      <c r="J19" s="4443"/>
      <c r="K19" s="4443"/>
      <c r="L19" s="4443"/>
      <c r="M19" s="4443"/>
      <c r="N19" s="4443"/>
      <c r="O19" s="4444"/>
      <c r="P19" s="1528"/>
      <c r="Q19" s="4498"/>
      <c r="R19" s="4499"/>
      <c r="S19" s="4499"/>
    </row>
    <row r="20" spans="1:35" s="42" customFormat="1" ht="10.5" customHeight="1">
      <c r="A20" s="1183" t="s">
        <v>4057</v>
      </c>
      <c r="B20" s="953" t="s">
        <v>4046</v>
      </c>
      <c r="C20" s="1102"/>
      <c r="D20" s="1184"/>
      <c r="E20" s="1517">
        <f>$O$241</f>
        <v>0</v>
      </c>
      <c r="F20" s="4442" t="str">
        <f>$A$247</f>
        <v xml:space="preserve">Applicant is not requesting points in this section. </v>
      </c>
      <c r="G20" s="4443"/>
      <c r="H20" s="4443"/>
      <c r="I20" s="4443"/>
      <c r="J20" s="4443"/>
      <c r="K20" s="4443"/>
      <c r="L20" s="4443"/>
      <c r="M20" s="4443"/>
      <c r="N20" s="4443"/>
      <c r="O20" s="4444"/>
      <c r="P20" s="1528"/>
      <c r="Q20" s="4498"/>
      <c r="R20" s="4499"/>
      <c r="S20" s="4499"/>
    </row>
    <row r="21" spans="1:35" s="42" customFormat="1" ht="10.5" customHeight="1">
      <c r="A21" s="1189" t="s">
        <v>6249</v>
      </c>
      <c r="B21" s="1190" t="s">
        <v>4047</v>
      </c>
      <c r="C21" s="1191"/>
      <c r="D21" s="1192"/>
      <c r="E21" s="1518">
        <f>$O$251</f>
        <v>5</v>
      </c>
      <c r="F21" s="4452" t="str">
        <f>$A$256</f>
        <v xml:space="preserve">The project is within a current Local Government Boundary that has not been awarded an allocation of 9% Credits within the last 15 + DCA Housing Credit Application Rounds. </v>
      </c>
      <c r="G21" s="4453"/>
      <c r="H21" s="4453"/>
      <c r="I21" s="4453"/>
      <c r="J21" s="4453"/>
      <c r="K21" s="4453"/>
      <c r="L21" s="4453"/>
      <c r="M21" s="4453"/>
      <c r="N21" s="4453"/>
      <c r="O21" s="4454"/>
      <c r="P21" s="1528"/>
      <c r="Q21" s="4498"/>
      <c r="R21" s="4499"/>
      <c r="S21" s="4499"/>
    </row>
    <row r="22" spans="1:35" s="42" customFormat="1" ht="10.5" customHeight="1">
      <c r="A22" s="1183" t="s">
        <v>6644</v>
      </c>
      <c r="B22" s="953" t="s">
        <v>6556</v>
      </c>
      <c r="C22" s="1102"/>
      <c r="D22" s="1184"/>
      <c r="E22" s="1515">
        <f>$O$273</f>
        <v>0</v>
      </c>
      <c r="F22" s="4442" t="str">
        <f>$A$280</f>
        <v xml:space="preserve">Applicant is not claiming points in this section. </v>
      </c>
      <c r="G22" s="4443"/>
      <c r="H22" s="4443"/>
      <c r="I22" s="4443"/>
      <c r="J22" s="4443"/>
      <c r="K22" s="4443"/>
      <c r="L22" s="4443"/>
      <c r="M22" s="4443"/>
      <c r="N22" s="4443"/>
      <c r="O22" s="4444"/>
      <c r="P22" s="1528"/>
      <c r="Q22" s="4498"/>
      <c r="R22" s="4499"/>
      <c r="S22" s="4499"/>
    </row>
    <row r="23" spans="1:35" s="42" customFormat="1" ht="10.5" customHeight="1">
      <c r="A23" s="1183" t="s">
        <v>6646</v>
      </c>
      <c r="B23" s="953" t="s">
        <v>6645</v>
      </c>
      <c r="C23" s="1102"/>
      <c r="D23" s="1184"/>
      <c r="E23" s="1515">
        <f>$O$284</f>
        <v>2</v>
      </c>
      <c r="F23" s="4442" t="str">
        <f>$A$305</f>
        <v xml:space="preserve">The Applicant commits to engage QB's in the development or operation of the proposed property in amounts equal to approximately 5% of total construction hard costs, and will submit a report with the Final Allocation Application describing these efforts. </v>
      </c>
      <c r="G23" s="4443"/>
      <c r="H23" s="4443"/>
      <c r="I23" s="4443"/>
      <c r="J23" s="4443"/>
      <c r="K23" s="4443"/>
      <c r="L23" s="4443"/>
      <c r="M23" s="4443"/>
      <c r="N23" s="4443"/>
      <c r="O23" s="4444"/>
      <c r="P23" s="1528"/>
      <c r="Q23" s="4498"/>
      <c r="R23" s="4499"/>
      <c r="S23" s="4499"/>
    </row>
    <row r="24" spans="1:35" s="42" customFormat="1" ht="10.5" customHeight="1">
      <c r="A24" s="2096" t="s">
        <v>3371</v>
      </c>
      <c r="B24" s="2534" t="s">
        <v>6562</v>
      </c>
      <c r="C24" s="2535"/>
      <c r="D24" s="2536"/>
      <c r="E24" s="1516">
        <f>$O$309</f>
        <v>2</v>
      </c>
      <c r="F24" s="4492" t="str">
        <f>$A$313</f>
        <v>Applicant agrees to contract with a third party to provide enriched property services in line with the requirements of the 2022 QAP.</v>
      </c>
      <c r="G24" s="4493"/>
      <c r="H24" s="4493"/>
      <c r="I24" s="4493"/>
      <c r="J24" s="4493"/>
      <c r="K24" s="4493"/>
      <c r="L24" s="4493"/>
      <c r="M24" s="4493"/>
      <c r="N24" s="4493"/>
      <c r="O24" s="4494"/>
      <c r="P24" s="1528"/>
      <c r="Q24" s="4498"/>
      <c r="R24" s="4499"/>
      <c r="S24" s="4499"/>
    </row>
    <row r="25" spans="1:35" s="42" customFormat="1" ht="10.5" customHeight="1">
      <c r="A25" s="1183" t="s">
        <v>3375</v>
      </c>
      <c r="B25" s="953" t="s">
        <v>3399</v>
      </c>
      <c r="C25" s="1102"/>
      <c r="D25" s="1184"/>
      <c r="E25" s="1515">
        <f>$O$333</f>
        <v>2</v>
      </c>
      <c r="F25" s="4442" t="str">
        <f>$A$337</f>
        <v>Please see Tab 41 of the Application for the GICH support letter signed by the primary contact and the government agreement for the issuance of the GICH letter signed by the Mayor</v>
      </c>
      <c r="G25" s="4443"/>
      <c r="H25" s="4443"/>
      <c r="I25" s="4443"/>
      <c r="J25" s="4443"/>
      <c r="K25" s="4443"/>
      <c r="L25" s="4443"/>
      <c r="M25" s="4443"/>
      <c r="N25" s="4443"/>
      <c r="O25" s="4444"/>
      <c r="P25" s="1528"/>
      <c r="Q25" s="4498"/>
      <c r="R25" s="4499"/>
      <c r="S25" s="4499"/>
    </row>
    <row r="26" spans="1:35" s="42" customFormat="1" ht="10.5" customHeight="1">
      <c r="A26" s="1183" t="s">
        <v>3378</v>
      </c>
      <c r="B26" s="953" t="s">
        <v>3400</v>
      </c>
      <c r="C26" s="1102"/>
      <c r="D26" s="1184"/>
      <c r="E26" s="1515">
        <f>$O$341</f>
        <v>1</v>
      </c>
      <c r="F26" s="4442" t="str">
        <f>$A$373</f>
        <v>Please see Tab 2 and 42 for the commitment for the Construction/Permanent Favorable Financing Loan from Central Bank of Kansas City offered as a result of their 2020 Capital Magnent Fund award from the CDFI Fund division of the United States Treasury Department. The proposed loan is for a minimum term of 10 years at or below long-term monthly AFR effective May 1, 2022 (2.63%).</v>
      </c>
      <c r="G26" s="4443"/>
      <c r="H26" s="4443"/>
      <c r="I26" s="4443"/>
      <c r="J26" s="4443"/>
      <c r="K26" s="4443"/>
      <c r="L26" s="4443"/>
      <c r="M26" s="4443"/>
      <c r="N26" s="4443"/>
      <c r="O26" s="4444"/>
      <c r="P26" s="1528"/>
      <c r="Q26" s="4498"/>
      <c r="R26" s="4499"/>
      <c r="S26" s="4499"/>
    </row>
    <row r="27" spans="1:35" s="42" customFormat="1" ht="10.5" customHeight="1">
      <c r="A27" s="1183" t="s">
        <v>3379</v>
      </c>
      <c r="B27" s="953" t="s">
        <v>3401</v>
      </c>
      <c r="C27" s="1102"/>
      <c r="D27" s="1184"/>
      <c r="E27" s="1517">
        <f>$O$377</f>
        <v>0</v>
      </c>
      <c r="F27" s="4442" t="str">
        <f>$A$392</f>
        <v>Not applicable. Project is all new construction.</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3381</v>
      </c>
      <c r="B28" s="1186" t="s">
        <v>6643</v>
      </c>
      <c r="C28" s="1187"/>
      <c r="D28" s="1188"/>
      <c r="E28" s="2116">
        <f>$O$404</f>
        <v>3</v>
      </c>
      <c r="F28" s="4445" t="str">
        <f>$A$413</f>
        <v>The proposed development has units without PBRA contracts, tenancy is Family and contains at least 10% of total units as 1 bedroom. The Applicant commits to accept DCA-administered PBRA at the proposed development for not more than 20% of overall units, if funding is available. Applicant has a controlling interest in the general partnership and has agreed to contract with DCA PBRA under a prior QAP.</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6137</v>
      </c>
      <c r="C29" s="1102"/>
      <c r="D29" s="1184"/>
      <c r="E29" s="1515">
        <f>$O$417</f>
        <v>0</v>
      </c>
      <c r="F29" s="4442" t="str">
        <f>$A$419</f>
        <v>N/A</v>
      </c>
      <c r="G29" s="4443"/>
      <c r="H29" s="4443"/>
      <c r="I29" s="4443"/>
      <c r="J29" s="4443"/>
      <c r="K29" s="4443"/>
      <c r="L29" s="4443"/>
      <c r="M29" s="4443"/>
      <c r="N29" s="4443"/>
      <c r="O29" s="4444"/>
      <c r="P29" s="1528"/>
      <c r="Q29" s="2652"/>
      <c r="R29" s="2128"/>
      <c r="S29" s="2128"/>
    </row>
    <row r="30" spans="1:35" s="42" customFormat="1" ht="10.5" customHeight="1">
      <c r="A30" s="1183" t="s">
        <v>3807</v>
      </c>
      <c r="B30" s="953" t="s">
        <v>6560</v>
      </c>
      <c r="C30" s="1102"/>
      <c r="D30" s="1184"/>
      <c r="E30" s="1515">
        <f>$O$427</f>
        <v>0</v>
      </c>
      <c r="F30" s="4442" t="str">
        <f>$A$429</f>
        <v>N/A</v>
      </c>
      <c r="G30" s="4443"/>
      <c r="H30" s="4443"/>
      <c r="I30" s="4443"/>
      <c r="J30" s="4443"/>
      <c r="K30" s="4443"/>
      <c r="L30" s="4443"/>
      <c r="M30" s="4443"/>
      <c r="N30" s="4443"/>
      <c r="O30" s="4444"/>
      <c r="P30" s="1528"/>
      <c r="Q30" s="2652"/>
      <c r="R30" s="2128"/>
      <c r="S30" s="2128"/>
      <c r="AA30" s="3958" t="s">
        <v>6570</v>
      </c>
      <c r="AB30" s="3958"/>
      <c r="AC30" s="3958"/>
      <c r="AD30" s="3958"/>
      <c r="AE30" s="3958"/>
      <c r="AF30" s="3958"/>
    </row>
    <row r="31" spans="1:35" s="42" customFormat="1" ht="10.5" customHeight="1">
      <c r="A31" s="1185" t="s">
        <v>6563</v>
      </c>
      <c r="B31" s="1186" t="s">
        <v>6561</v>
      </c>
      <c r="C31" s="1187"/>
      <c r="D31" s="1188"/>
      <c r="E31" s="2116">
        <f>$O$433</f>
        <v>0</v>
      </c>
      <c r="F31" s="4445" t="str">
        <f>$A$437</f>
        <v>N/A</v>
      </c>
      <c r="G31" s="4446"/>
      <c r="H31" s="4446"/>
      <c r="I31" s="4446"/>
      <c r="J31" s="4446"/>
      <c r="K31" s="4446"/>
      <c r="L31" s="4446"/>
      <c r="M31" s="4446"/>
      <c r="N31" s="4446"/>
      <c r="O31" s="4447"/>
      <c r="P31" s="1529"/>
      <c r="Q31" s="2652"/>
      <c r="R31" s="2128"/>
      <c r="S31" s="2128"/>
      <c r="X31" s="3958" t="s">
        <v>6571</v>
      </c>
      <c r="Y31" s="3958"/>
      <c r="Z31" s="3958"/>
      <c r="AA31" s="3958"/>
      <c r="AB31" s="3958"/>
      <c r="AC31" s="3958"/>
      <c r="AD31" s="3958" t="s">
        <v>6572</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503" t="s">
        <v>6130</v>
      </c>
      <c r="H33" s="4503"/>
      <c r="I33" s="4500" t="s">
        <v>6510</v>
      </c>
      <c r="J33" s="4501"/>
      <c r="K33" s="4501"/>
      <c r="L33" s="4502"/>
      <c r="M33" s="4455" t="s">
        <v>6143</v>
      </c>
      <c r="N33" s="4455"/>
      <c r="O33" s="4455"/>
      <c r="P33" s="4455"/>
      <c r="Q33" s="1972"/>
      <c r="R33" s="1972"/>
      <c r="S33" s="107" t="s">
        <v>6142</v>
      </c>
      <c r="T33" s="1972"/>
      <c r="U33" s="1972"/>
      <c r="V33" s="1972"/>
      <c r="X33" s="4486" t="s">
        <v>6130</v>
      </c>
      <c r="Y33" s="4488"/>
      <c r="Z33" s="4486" t="s">
        <v>6510</v>
      </c>
      <c r="AA33" s="4487"/>
      <c r="AB33" s="4487"/>
      <c r="AC33" s="4488"/>
      <c r="AD33" s="4495" t="s">
        <v>6130</v>
      </c>
      <c r="AE33" s="4496"/>
      <c r="AF33" s="4497" t="s">
        <v>6510</v>
      </c>
      <c r="AG33" s="4495"/>
      <c r="AH33" s="4495"/>
      <c r="AI33" s="4496"/>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237" t="s">
        <v>6569</v>
      </c>
      <c r="N39" s="4238"/>
      <c r="O39" s="4238"/>
      <c r="P39" s="4238"/>
      <c r="Q39" s="1969"/>
      <c r="R39" s="2409" t="s">
        <v>720</v>
      </c>
      <c r="S39" s="2273" t="s">
        <v>3341</v>
      </c>
      <c r="T39" s="2468"/>
      <c r="U39" s="2469"/>
      <c r="V39" s="2469"/>
      <c r="W39" s="2469"/>
      <c r="X39" s="2276">
        <f>O151</f>
        <v>1.5</v>
      </c>
      <c r="Y39" s="2349">
        <f>O151</f>
        <v>1.5</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237"/>
      <c r="N40" s="4238"/>
      <c r="O40" s="4238"/>
      <c r="P40" s="4238"/>
      <c r="Q40" s="1969"/>
      <c r="R40" s="2409" t="s">
        <v>280</v>
      </c>
      <c r="S40" s="2273" t="s">
        <v>3397</v>
      </c>
      <c r="T40" s="2468"/>
      <c r="U40" s="2469"/>
      <c r="V40" s="2469"/>
      <c r="W40" s="2469"/>
      <c r="X40" s="2332">
        <f>O168</f>
        <v>6</v>
      </c>
      <c r="Y40" s="2345">
        <f>O168</f>
        <v>6</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6564</v>
      </c>
      <c r="N41" s="183"/>
      <c r="O41" s="183"/>
      <c r="P41" s="1559" t="s">
        <v>2651</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2654</v>
      </c>
      <c r="Q42" s="1969"/>
      <c r="R42" s="2409" t="s">
        <v>342</v>
      </c>
      <c r="S42" s="2273" t="s">
        <v>4043</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t="s">
        <v>2654</v>
      </c>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6518</v>
      </c>
      <c r="N44" s="2463"/>
      <c r="O44" s="568" t="s">
        <v>6147</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3372</v>
      </c>
      <c r="S46" s="2273" t="s">
        <v>4047</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3372</v>
      </c>
      <c r="B48" s="2273" t="s">
        <v>6556</v>
      </c>
      <c r="C48" s="2279"/>
      <c r="D48" s="2280"/>
      <c r="E48" s="2280"/>
      <c r="F48" s="2280"/>
      <c r="G48" s="2276">
        <v>2</v>
      </c>
      <c r="H48" s="2277">
        <v>2</v>
      </c>
      <c r="I48" s="2277">
        <v>2</v>
      </c>
      <c r="J48" s="2276">
        <v>2</v>
      </c>
      <c r="K48" s="2278">
        <v>2</v>
      </c>
      <c r="L48" s="2278">
        <v>2</v>
      </c>
      <c r="M48" s="2460" t="s">
        <v>6567</v>
      </c>
      <c r="N48" s="2461"/>
      <c r="O48" s="2462"/>
      <c r="P48" s="2497" t="s">
        <v>2654</v>
      </c>
      <c r="R48" s="2409" t="s">
        <v>3372</v>
      </c>
      <c r="S48" s="2273" t="s">
        <v>6556</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50</v>
      </c>
    </row>
    <row r="49" spans="1:46" s="160" customFormat="1" ht="10.5" customHeight="1">
      <c r="A49" s="2409" t="s">
        <v>3373</v>
      </c>
      <c r="B49" s="2273" t="s">
        <v>6557</v>
      </c>
      <c r="C49" s="2279"/>
      <c r="D49" s="2280"/>
      <c r="E49" s="2280"/>
      <c r="F49" s="2280"/>
      <c r="G49" s="2276">
        <v>2</v>
      </c>
      <c r="H49" s="2277">
        <v>2</v>
      </c>
      <c r="I49" s="2277">
        <v>2</v>
      </c>
      <c r="J49" s="2276">
        <v>2</v>
      </c>
      <c r="K49" s="2278">
        <v>2</v>
      </c>
      <c r="L49" s="2278">
        <v>2</v>
      </c>
      <c r="M49" s="183" t="s">
        <v>6568</v>
      </c>
      <c r="N49" s="586"/>
      <c r="O49" s="586"/>
      <c r="P49" s="595">
        <f>'Part II-Sources of Funds'!$L$14</f>
        <v>0</v>
      </c>
      <c r="R49" s="2409" t="s">
        <v>3373</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6562</v>
      </c>
      <c r="C50" s="2279"/>
      <c r="D50" s="2280"/>
      <c r="E50" s="2280"/>
      <c r="F50" s="2280"/>
      <c r="G50" s="2276">
        <v>2</v>
      </c>
      <c r="H50" s="2277"/>
      <c r="I50" s="2277"/>
      <c r="J50" s="2276">
        <v>2</v>
      </c>
      <c r="K50" s="2278">
        <v>2</v>
      </c>
      <c r="L50" s="2278">
        <v>2</v>
      </c>
      <c r="Q50" s="1969"/>
      <c r="R50" s="2409" t="s">
        <v>3371</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6135</v>
      </c>
      <c r="C51" s="2279"/>
      <c r="D51" s="2280"/>
      <c r="E51" s="2280"/>
      <c r="F51" s="2280"/>
      <c r="G51" s="2276">
        <v>2</v>
      </c>
      <c r="H51" s="2277"/>
      <c r="I51" s="2277"/>
      <c r="J51" s="2276">
        <v>2</v>
      </c>
      <c r="K51" s="2278">
        <v>2</v>
      </c>
      <c r="L51" s="2278">
        <v>2</v>
      </c>
      <c r="M51" s="4241" t="s">
        <v>6741</v>
      </c>
      <c r="N51" s="4242"/>
      <c r="O51" s="4242"/>
      <c r="P51" s="4242"/>
      <c r="Q51" s="536"/>
      <c r="R51" s="2409" t="s">
        <v>3374</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241"/>
      <c r="N52" s="4242"/>
      <c r="O52" s="4242"/>
      <c r="P52" s="4242"/>
      <c r="R52" s="2409" t="s">
        <v>3375</v>
      </c>
      <c r="S52" s="2273" t="s">
        <v>3399</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243"/>
      <c r="N53" s="4244"/>
      <c r="O53" s="4244"/>
      <c r="P53" s="4244"/>
      <c r="R53" s="2409" t="s">
        <v>3378</v>
      </c>
      <c r="S53" s="2273" t="s">
        <v>3400</v>
      </c>
      <c r="T53" s="2470"/>
      <c r="U53" s="2471"/>
      <c r="V53" s="2471"/>
      <c r="W53" s="2471"/>
      <c r="X53" s="2344">
        <f>O341</f>
        <v>1</v>
      </c>
      <c r="Y53" s="2345">
        <f>O341</f>
        <v>1</v>
      </c>
      <c r="Z53" s="2344">
        <f>O341</f>
        <v>1</v>
      </c>
      <c r="AA53" s="2404">
        <f>O341</f>
        <v>1</v>
      </c>
      <c r="AB53" s="2404">
        <f>O341</f>
        <v>1</v>
      </c>
      <c r="AC53" s="2405">
        <f>O341</f>
        <v>1</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456" t="s">
        <v>6130</v>
      </c>
      <c r="N54" s="4457"/>
      <c r="O54" s="4457"/>
      <c r="P54" s="4458"/>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6136</v>
      </c>
      <c r="C55" s="2279"/>
      <c r="D55" s="2280"/>
      <c r="E55" s="2280"/>
      <c r="F55" s="2280"/>
      <c r="G55" s="2276">
        <v>10</v>
      </c>
      <c r="H55" s="2277">
        <v>10</v>
      </c>
      <c r="I55" s="2277">
        <v>10</v>
      </c>
      <c r="J55" s="2276">
        <v>10</v>
      </c>
      <c r="K55" s="2278">
        <v>10</v>
      </c>
      <c r="L55" s="2278">
        <v>10</v>
      </c>
      <c r="M55" s="4459"/>
      <c r="N55" s="4460"/>
      <c r="O55" s="4460"/>
      <c r="P55" s="4461"/>
      <c r="R55" s="2409" t="s">
        <v>3380</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6558</v>
      </c>
      <c r="C56" s="2279"/>
      <c r="D56" s="2280"/>
      <c r="E56" s="2280"/>
      <c r="F56" s="2280"/>
      <c r="G56" s="2276">
        <v>3</v>
      </c>
      <c r="H56" s="2277">
        <v>3</v>
      </c>
      <c r="I56" s="2277">
        <v>3</v>
      </c>
      <c r="J56" s="2276">
        <v>3</v>
      </c>
      <c r="K56" s="2278">
        <v>3</v>
      </c>
      <c r="L56" s="2278">
        <v>3</v>
      </c>
      <c r="R56" s="2409" t="s">
        <v>3381</v>
      </c>
      <c r="S56" s="2273" t="s">
        <v>6558</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6137</v>
      </c>
      <c r="C57" s="2279"/>
      <c r="D57" s="2280"/>
      <c r="E57" s="2280"/>
      <c r="F57" s="2280"/>
      <c r="G57" s="2276"/>
      <c r="H57" s="2277"/>
      <c r="I57" s="2277">
        <v>6</v>
      </c>
      <c r="J57" s="2276">
        <v>6</v>
      </c>
      <c r="K57" s="2278">
        <v>6</v>
      </c>
      <c r="L57" s="2278">
        <v>6</v>
      </c>
      <c r="M57" s="4237" t="s">
        <v>6145</v>
      </c>
      <c r="N57" s="4238"/>
      <c r="O57" s="4238"/>
      <c r="P57" s="4238"/>
      <c r="Q57" s="1969"/>
      <c r="R57" s="2409" t="s">
        <v>3382</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6559</v>
      </c>
      <c r="C58" s="2279"/>
      <c r="D58" s="2280"/>
      <c r="E58" s="2280"/>
      <c r="F58" s="2280"/>
      <c r="G58" s="2276"/>
      <c r="H58" s="2277"/>
      <c r="I58" s="2277">
        <v>6</v>
      </c>
      <c r="J58" s="2276">
        <v>6</v>
      </c>
      <c r="K58" s="2278">
        <v>6</v>
      </c>
      <c r="L58" s="2278">
        <v>6</v>
      </c>
      <c r="M58" s="4239"/>
      <c r="N58" s="4240"/>
      <c r="O58" s="4240"/>
      <c r="P58" s="4240"/>
      <c r="Q58" s="1969"/>
      <c r="R58" s="2409" t="s">
        <v>3383</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6560</v>
      </c>
      <c r="C59" s="2279"/>
      <c r="D59" s="2280"/>
      <c r="E59" s="2280"/>
      <c r="F59" s="2280"/>
      <c r="G59" s="2276"/>
      <c r="H59" s="2277"/>
      <c r="I59" s="2277">
        <v>4</v>
      </c>
      <c r="J59" s="2276">
        <v>4</v>
      </c>
      <c r="K59" s="2278">
        <v>4</v>
      </c>
      <c r="L59" s="2278">
        <v>4</v>
      </c>
      <c r="M59" s="4537" t="s">
        <v>2393</v>
      </c>
      <c r="N59" s="4538"/>
      <c r="O59" s="4538"/>
      <c r="P59" s="4539"/>
      <c r="R59" s="2409" t="s">
        <v>3807</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540"/>
      <c r="N60" s="4541"/>
      <c r="O60" s="4541"/>
      <c r="P60" s="4542"/>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71.5</v>
      </c>
      <c r="Y62" s="2343">
        <f t="shared" ref="Y62" si="1">SUM(Y35:Y60)</f>
        <v>61.5</v>
      </c>
      <c r="Z62" s="2343">
        <f>SUM(Z35:Z60)</f>
        <v>32</v>
      </c>
      <c r="AA62" s="2343">
        <f>SUM(AA35:AA60)</f>
        <v>34</v>
      </c>
      <c r="AB62" s="2343">
        <f>SUM(AB35:AB60)</f>
        <v>36</v>
      </c>
      <c r="AC62" s="2343">
        <f>SUM(AC35:AC60)</f>
        <v>36</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6248</v>
      </c>
    </row>
    <row r="66" spans="1:20" s="43" customFormat="1" ht="12.75" customHeight="1">
      <c r="A66" s="191"/>
      <c r="B66" s="2094" t="s">
        <v>1845</v>
      </c>
      <c r="C66" s="111" t="s">
        <v>3812</v>
      </c>
      <c r="D66" s="48"/>
      <c r="E66" s="48"/>
      <c r="F66" s="1207"/>
      <c r="H66" s="185" t="s">
        <v>3178</v>
      </c>
      <c r="J66" s="49"/>
      <c r="N66" s="415" t="s">
        <v>1845</v>
      </c>
      <c r="P66" s="1152">
        <f>F74</f>
        <v>0</v>
      </c>
    </row>
    <row r="67" spans="1:20" s="43" customFormat="1" ht="12.75" customHeight="1">
      <c r="A67" s="191"/>
      <c r="B67" s="2094" t="s">
        <v>1847</v>
      </c>
      <c r="C67" s="111" t="s">
        <v>6247</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275" t="s">
        <v>3899</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01" t="s">
        <v>6076</v>
      </c>
      <c r="B73" s="4201"/>
      <c r="C73" s="4201"/>
      <c r="D73" s="4201"/>
      <c r="E73" s="4201"/>
      <c r="F73" s="1492" t="s">
        <v>3393</v>
      </c>
      <c r="G73" s="4434" t="s">
        <v>6078</v>
      </c>
      <c r="H73" s="4434"/>
      <c r="I73" s="4434"/>
      <c r="J73" s="1492" t="s">
        <v>3393</v>
      </c>
      <c r="K73" s="4438" t="s">
        <v>6077</v>
      </c>
      <c r="L73" s="4438"/>
      <c r="M73" s="4438"/>
      <c r="N73" s="4438"/>
      <c r="O73" s="4432" t="s">
        <v>3393</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3813</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3148</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3149</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3150</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3151</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6146</v>
      </c>
      <c r="E90" s="57"/>
      <c r="G90" s="88"/>
      <c r="H90" s="55" t="s">
        <v>6653</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294" t="s">
        <v>3816</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58</v>
      </c>
      <c r="L93" s="4324" t="str">
        <f>IF(AND(O93&gt;0,O94&gt;0), "CHOOSE EITHER A OR B, NOT BOTH!", "")</f>
        <v/>
      </c>
      <c r="M93" s="1019">
        <v>2</v>
      </c>
      <c r="N93" s="187" t="s">
        <v>1845</v>
      </c>
      <c r="O93" s="534">
        <v>2</v>
      </c>
      <c r="P93" s="544"/>
      <c r="Q93" s="1532" t="str">
        <f>IF(OR($O93=$M93,$O93=0,$O93=""),"","*CHECK!*")</f>
        <v/>
      </c>
      <c r="R93" s="1001" t="s">
        <v>4063</v>
      </c>
    </row>
    <row r="94" spans="1:19" s="103" customFormat="1" ht="13.5" customHeight="1">
      <c r="A94" s="1499" t="s">
        <v>2986</v>
      </c>
      <c r="B94" s="1512" t="s">
        <v>1847</v>
      </c>
      <c r="C94" s="1500" t="s">
        <v>3819</v>
      </c>
      <c r="D94" s="52"/>
      <c r="I94" s="1498"/>
      <c r="K94" s="52"/>
      <c r="L94" s="4324"/>
      <c r="M94" s="1019">
        <v>2</v>
      </c>
      <c r="N94" s="187" t="s">
        <v>1847</v>
      </c>
      <c r="O94" s="535"/>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543" t="s">
        <v>3820</v>
      </c>
      <c r="I96" s="4544"/>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c r="I97" s="1201"/>
      <c r="J97" s="1502">
        <f>'Part V-Revenues &amp; Expenses'!P65</f>
        <v>50</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2651</v>
      </c>
      <c r="P104" s="2320"/>
    </row>
    <row r="105" spans="1:21" s="103" customFormat="1" ht="12.75" customHeight="1">
      <c r="A105" s="139" t="s">
        <v>1842</v>
      </c>
      <c r="B105" s="177" t="s">
        <v>1737</v>
      </c>
      <c r="C105" s="4"/>
      <c r="D105" s="4"/>
      <c r="F105" s="317"/>
      <c r="H105" s="840" t="s">
        <v>2469</v>
      </c>
      <c r="I105" s="4514" t="s">
        <v>4048</v>
      </c>
      <c r="J105" s="4515"/>
      <c r="K105" s="4515"/>
      <c r="L105" s="4516"/>
      <c r="M105" s="598">
        <v>20</v>
      </c>
      <c r="N105" s="187" t="s">
        <v>1842</v>
      </c>
      <c r="O105" s="2321">
        <v>20</v>
      </c>
      <c r="P105" s="2322"/>
      <c r="Q105" s="1532"/>
      <c r="R105" s="1001" t="s">
        <v>4063</v>
      </c>
    </row>
    <row r="106" spans="1:21" s="103" customFormat="1" ht="12.75" customHeight="1">
      <c r="A106" s="139" t="s">
        <v>1844</v>
      </c>
      <c r="B106" s="177" t="s">
        <v>3282</v>
      </c>
      <c r="D106" s="1120"/>
      <c r="F106" s="1566"/>
      <c r="H106" s="840" t="s">
        <v>3340</v>
      </c>
      <c r="I106" s="4517"/>
      <c r="J106" s="4518"/>
      <c r="K106" s="4518"/>
      <c r="L106" s="4519"/>
      <c r="M106" s="1558" t="s">
        <v>1165</v>
      </c>
      <c r="N106" s="478" t="s">
        <v>1844</v>
      </c>
      <c r="O106" s="2323">
        <v>0</v>
      </c>
      <c r="P106" s="2324"/>
      <c r="R106" s="1001" t="s">
        <v>4063</v>
      </c>
    </row>
    <row r="107" spans="1:21" s="43" customFormat="1" ht="12.75" customHeight="1" thickBot="1">
      <c r="A107" s="42"/>
      <c r="B107" s="1197" t="s">
        <v>3243</v>
      </c>
      <c r="C107" s="42"/>
      <c r="D107" s="48"/>
      <c r="E107" s="48"/>
      <c r="F107" s="48"/>
      <c r="G107" s="48"/>
      <c r="H107" s="36"/>
      <c r="I107" s="4520"/>
      <c r="J107" s="4521"/>
      <c r="K107" s="4521"/>
      <c r="L107" s="4522"/>
      <c r="M107" s="46"/>
      <c r="N107" s="62"/>
      <c r="O107" s="3"/>
      <c r="P107" s="1205"/>
    </row>
    <row r="108" spans="1:21" s="43" customFormat="1" ht="90" customHeight="1" thickTop="1" thickBot="1">
      <c r="A108" s="4329" t="s">
        <v>6973</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6149</v>
      </c>
      <c r="I112" s="2112" t="s">
        <v>6145</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6151</v>
      </c>
      <c r="D116" s="1120"/>
      <c r="E116" s="103"/>
      <c r="F116" s="103"/>
      <c r="G116" s="103"/>
      <c r="H116" s="45"/>
      <c r="I116" s="49"/>
      <c r="J116" s="48"/>
      <c r="K116" s="48"/>
      <c r="L116" s="103"/>
      <c r="M116" s="103"/>
      <c r="N116" s="478"/>
      <c r="O116" s="389" t="s">
        <v>6908</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2651</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6908</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463" t="s">
        <v>3219</v>
      </c>
      <c r="G122" s="4463"/>
      <c r="H122" s="4463"/>
      <c r="I122" s="4463"/>
      <c r="J122" s="4463" t="s">
        <v>3220</v>
      </c>
      <c r="K122" s="4463"/>
      <c r="L122" s="4463"/>
      <c r="M122" s="4463"/>
      <c r="N122" s="478"/>
      <c r="O122" s="4464" t="s">
        <v>3889</v>
      </c>
      <c r="P122" s="4465"/>
      <c r="Q122" s="110"/>
      <c r="R122" s="2437"/>
      <c r="S122" s="2437"/>
      <c r="T122" s="2437"/>
      <c r="U122" s="2437"/>
    </row>
    <row r="123" spans="1:21" s="43" customFormat="1" ht="12" customHeight="1">
      <c r="B123" s="2436"/>
      <c r="C123" s="2434" t="s">
        <v>6576</v>
      </c>
      <c r="E123" s="291"/>
      <c r="F123" s="4468">
        <v>31.122126999999999</v>
      </c>
      <c r="G123" s="4469"/>
      <c r="H123" s="4466"/>
      <c r="I123" s="4467"/>
      <c r="J123" s="4468">
        <v>-83.414765000000003</v>
      </c>
      <c r="K123" s="4469"/>
      <c r="L123" s="4466"/>
      <c r="M123" s="4467"/>
      <c r="N123" s="478"/>
      <c r="Q123" s="110"/>
      <c r="R123" s="2437"/>
      <c r="S123" s="2437"/>
      <c r="T123" s="2437"/>
      <c r="U123" s="2437"/>
    </row>
    <row r="124" spans="1:21" s="43" customFormat="1" ht="12" customHeight="1">
      <c r="A124" s="2436"/>
      <c r="B124" s="2436"/>
      <c r="C124" s="2436"/>
      <c r="D124" s="414"/>
      <c r="E124" s="2435" t="s">
        <v>6152</v>
      </c>
      <c r="F124" s="4327">
        <v>31.122126999999999</v>
      </c>
      <c r="G124" s="4328"/>
      <c r="H124" s="4313"/>
      <c r="I124" s="4314"/>
      <c r="J124" s="4327">
        <v>-83.414765000000003</v>
      </c>
      <c r="K124" s="4328"/>
      <c r="L124" s="4313"/>
      <c r="M124" s="4314"/>
      <c r="N124" s="478"/>
      <c r="O124" s="1627">
        <v>0</v>
      </c>
      <c r="P124" s="1173"/>
      <c r="Q124" s="110"/>
      <c r="R124" s="2437"/>
      <c r="S124" s="2437"/>
      <c r="T124" s="2437"/>
      <c r="U124" s="2437"/>
    </row>
    <row r="125" spans="1:21" s="43" customFormat="1" ht="12" customHeight="1">
      <c r="A125" s="4339" t="s">
        <v>6687</v>
      </c>
      <c r="B125" s="4339"/>
      <c r="C125" s="2434" t="s">
        <v>6575</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3368</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6709</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3240</v>
      </c>
      <c r="D130" s="41"/>
      <c r="F130" s="1197" t="s">
        <v>6691</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6153</v>
      </c>
      <c r="D131" s="41"/>
      <c r="F131" s="45"/>
      <c r="M131" s="1974"/>
      <c r="N131" s="415"/>
      <c r="O131" s="231"/>
      <c r="P131" s="551"/>
      <c r="Q131" s="110"/>
    </row>
    <row r="132" spans="1:21" s="436" customFormat="1" ht="25.5" customHeight="1">
      <c r="B132" s="462" t="s">
        <v>1845</v>
      </c>
      <c r="C132" s="4462" t="s">
        <v>6685</v>
      </c>
      <c r="D132" s="4462"/>
      <c r="E132" s="4462"/>
      <c r="F132" s="4462"/>
      <c r="G132" s="4462"/>
      <c r="H132" s="4462"/>
      <c r="I132" s="4462"/>
      <c r="J132" s="4462"/>
      <c r="K132" s="4462"/>
      <c r="L132" s="4462"/>
      <c r="M132" s="2454">
        <v>6</v>
      </c>
      <c r="N132" s="493" t="s">
        <v>1845</v>
      </c>
      <c r="O132" s="2580"/>
      <c r="P132" s="2581"/>
      <c r="Q132" s="1532"/>
      <c r="R132" s="1001" t="s">
        <v>4063</v>
      </c>
    </row>
    <row r="133" spans="1:21" s="436" customFormat="1" ht="12" customHeight="1">
      <c r="A133" s="595" t="s">
        <v>1276</v>
      </c>
      <c r="B133" s="462" t="s">
        <v>1847</v>
      </c>
      <c r="C133" s="4290" t="s">
        <v>6686</v>
      </c>
      <c r="D133" s="4290"/>
      <c r="E133" s="4290"/>
      <c r="F133" s="4290"/>
      <c r="G133" s="2572"/>
      <c r="J133" s="4470" t="s">
        <v>6682</v>
      </c>
      <c r="K133" s="4471"/>
      <c r="L133" s="4472"/>
      <c r="M133" s="598">
        <v>5</v>
      </c>
      <c r="N133" s="460" t="s">
        <v>1847</v>
      </c>
      <c r="O133" s="2596"/>
      <c r="P133" s="2597"/>
      <c r="Q133" s="2391" t="s">
        <v>6678</v>
      </c>
      <c r="R133" s="1492" t="s">
        <v>6270</v>
      </c>
      <c r="S133" s="1492" t="s">
        <v>6150</v>
      </c>
    </row>
    <row r="134" spans="1:21" s="436" customFormat="1" ht="12" customHeight="1">
      <c r="B134" s="462"/>
      <c r="C134" s="4290"/>
      <c r="D134" s="4290"/>
      <c r="E134" s="4290"/>
      <c r="F134" s="4290"/>
      <c r="G134" s="2572"/>
      <c r="H134" s="4212" t="s">
        <v>6680</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1844</v>
      </c>
      <c r="B137" s="1146" t="s">
        <v>3241</v>
      </c>
      <c r="C137" s="649"/>
      <c r="D137" s="649"/>
      <c r="F137" s="2571" t="s">
        <v>6677</v>
      </c>
      <c r="J137" s="4504" t="s">
        <v>6930</v>
      </c>
      <c r="K137" s="4505"/>
      <c r="L137" s="2433">
        <v>2293162153</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6679</v>
      </c>
      <c r="R137" s="2575">
        <v>0.25</v>
      </c>
      <c r="S137" s="2575">
        <v>3</v>
      </c>
    </row>
    <row r="138" spans="1:21" s="43" customFormat="1" ht="12" customHeight="1">
      <c r="A138" s="154"/>
      <c r="B138" s="2132" t="s">
        <v>1845</v>
      </c>
      <c r="C138" s="4290" t="s">
        <v>6692</v>
      </c>
      <c r="D138" s="4290"/>
      <c r="E138" s="4290"/>
      <c r="F138" s="4290"/>
      <c r="G138" s="2572"/>
      <c r="H138" s="4212" t="s">
        <v>6681</v>
      </c>
      <c r="I138" s="4212"/>
      <c r="J138" s="4506" t="s">
        <v>6931</v>
      </c>
      <c r="K138" s="4507"/>
      <c r="L138" s="4508"/>
      <c r="M138" s="598">
        <v>3</v>
      </c>
      <c r="N138" s="460" t="s">
        <v>1845</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6932</v>
      </c>
      <c r="K139" s="4279"/>
      <c r="L139" s="4280"/>
      <c r="M139" s="103"/>
      <c r="O139" s="4293"/>
      <c r="P139" s="4296"/>
      <c r="Q139" s="110"/>
      <c r="R139" s="1984">
        <v>1</v>
      </c>
      <c r="S139" s="1984">
        <v>1</v>
      </c>
      <c r="U139" s="436"/>
    </row>
    <row r="140" spans="1:21" s="43" customFormat="1" ht="11.25" customHeight="1">
      <c r="A140" s="595" t="s">
        <v>1276</v>
      </c>
      <c r="B140" s="2132" t="s">
        <v>1847</v>
      </c>
      <c r="C140" s="4290" t="s">
        <v>6684</v>
      </c>
      <c r="D140" s="4290"/>
      <c r="E140" s="4290"/>
      <c r="F140" s="4290"/>
      <c r="G140" s="4290"/>
      <c r="H140" s="4290"/>
      <c r="I140" s="2573"/>
      <c r="J140" s="4281"/>
      <c r="K140" s="4282"/>
      <c r="L140" s="4283"/>
      <c r="M140" s="598">
        <v>1</v>
      </c>
      <c r="N140" s="460" t="s">
        <v>1847</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2333</v>
      </c>
      <c r="C142" s="4290" t="s">
        <v>6683</v>
      </c>
      <c r="D142" s="4290"/>
      <c r="E142" s="4290"/>
      <c r="F142" s="4290"/>
      <c r="G142" s="4290"/>
      <c r="H142" s="4290"/>
      <c r="I142" s="4291"/>
      <c r="J142" s="4278" t="s">
        <v>6932</v>
      </c>
      <c r="K142" s="4279"/>
      <c r="L142" s="4280"/>
      <c r="M142" s="2454">
        <v>2</v>
      </c>
      <c r="N142" s="493" t="s">
        <v>2333</v>
      </c>
      <c r="O142" s="4336">
        <v>2</v>
      </c>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329" t="s">
        <v>6981</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3825</v>
      </c>
      <c r="H151" s="2115" t="str">
        <f>'Part VII-Threshold Criteria'!$J$35</f>
        <v>Family</v>
      </c>
      <c r="M151" s="872">
        <v>3</v>
      </c>
      <c r="N151" s="74"/>
      <c r="O151" s="2102">
        <v>1.5</v>
      </c>
      <c r="P151" s="2103"/>
      <c r="Q151" s="1532" t="str">
        <f>IF(OR($O151&lt;=$M151,$O151=0,$O151=""),"","*CHECK!*")</f>
        <v/>
      </c>
      <c r="R151" s="2105" t="s">
        <v>416</v>
      </c>
      <c r="S151" s="1001" t="s">
        <v>4063</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310" t="s">
        <v>6633</v>
      </c>
      <c r="K153" s="4311"/>
      <c r="L153" s="4311"/>
      <c r="M153" s="4312"/>
    </row>
    <row r="154" spans="1:19" customFormat="1" ht="12.75" customHeight="1">
      <c r="B154" s="2139"/>
      <c r="C154" s="2139"/>
      <c r="D154" s="2139"/>
      <c r="F154" s="4297" t="s">
        <v>6634</v>
      </c>
      <c r="G154" s="4297"/>
      <c r="H154" s="4297" t="s">
        <v>6276</v>
      </c>
      <c r="I154" s="4297"/>
      <c r="J154" s="4299" t="s">
        <v>6635</v>
      </c>
      <c r="K154" s="4300"/>
      <c r="L154" s="4297" t="s">
        <v>6636</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6637</v>
      </c>
      <c r="C156" s="2141"/>
      <c r="D156" s="2138"/>
      <c r="F156" s="4298"/>
      <c r="G156" s="4298"/>
      <c r="H156" s="4298"/>
      <c r="I156" s="4298"/>
      <c r="J156" s="4301"/>
      <c r="K156" s="4300"/>
      <c r="L156" s="4300"/>
      <c r="M156" s="4302"/>
      <c r="N156" s="1641"/>
      <c r="O156" s="2489"/>
      <c r="P156" s="2488"/>
    </row>
    <row r="157" spans="1:19" customFormat="1">
      <c r="B157" s="4303" t="s">
        <v>6933</v>
      </c>
      <c r="C157" s="4304"/>
      <c r="D157" s="4304"/>
      <c r="E157" s="4305"/>
      <c r="F157" s="4303" t="s">
        <v>2654</v>
      </c>
      <c r="G157" s="4305"/>
      <c r="H157" s="4303" t="s">
        <v>2651</v>
      </c>
      <c r="I157" s="4305"/>
      <c r="J157" s="4306" t="s">
        <v>2651</v>
      </c>
      <c r="K157" s="4307"/>
      <c r="L157" s="4306" t="s">
        <v>2651</v>
      </c>
      <c r="M157" s="4307"/>
      <c r="N157" s="4261"/>
      <c r="O157" s="4262"/>
      <c r="P157" s="2490"/>
    </row>
    <row r="158" spans="1:19" customFormat="1">
      <c r="B158" s="4263" t="s">
        <v>6934</v>
      </c>
      <c r="C158" s="4264"/>
      <c r="D158" s="4264"/>
      <c r="E158" s="4265"/>
      <c r="F158" s="4263" t="s">
        <v>2654</v>
      </c>
      <c r="G158" s="4265"/>
      <c r="H158" s="4263" t="s">
        <v>2654</v>
      </c>
      <c r="I158" s="4265"/>
      <c r="J158" s="4266" t="s">
        <v>2654</v>
      </c>
      <c r="K158" s="4267"/>
      <c r="L158" s="4266" t="s">
        <v>2651</v>
      </c>
      <c r="M158" s="4267"/>
      <c r="N158" s="4251"/>
      <c r="O158" s="4252"/>
      <c r="P158" s="2490"/>
    </row>
    <row r="159" spans="1:19" customFormat="1">
      <c r="B159" s="4263" t="s">
        <v>6935</v>
      </c>
      <c r="C159" s="4264"/>
      <c r="D159" s="4264"/>
      <c r="E159" s="4265"/>
      <c r="F159" s="4263" t="s">
        <v>2654</v>
      </c>
      <c r="G159" s="4265"/>
      <c r="H159" s="4263" t="s">
        <v>2651</v>
      </c>
      <c r="I159" s="4265"/>
      <c r="J159" s="4266" t="s">
        <v>2651</v>
      </c>
      <c r="K159" s="4267"/>
      <c r="L159" s="4266" t="s">
        <v>2651</v>
      </c>
      <c r="M159" s="4267"/>
      <c r="N159" s="4251"/>
      <c r="O159" s="4252"/>
      <c r="P159" s="2490"/>
    </row>
    <row r="160" spans="1:19" customFormat="1">
      <c r="B160" s="4263" t="s">
        <v>6936</v>
      </c>
      <c r="C160" s="4264"/>
      <c r="D160" s="4264"/>
      <c r="E160" s="4265"/>
      <c r="F160" s="4263" t="s">
        <v>2654</v>
      </c>
      <c r="G160" s="4265"/>
      <c r="H160" s="4263" t="s">
        <v>2654</v>
      </c>
      <c r="I160" s="4265"/>
      <c r="J160" s="4266" t="s">
        <v>2654</v>
      </c>
      <c r="K160" s="4267"/>
      <c r="L160" s="4266" t="s">
        <v>2651</v>
      </c>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9.25" customHeight="1" thickTop="1" thickBot="1">
      <c r="A164" s="4329" t="s">
        <v>7004</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6</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4</v>
      </c>
      <c r="P170" s="2181">
        <f>P171+P179+P180+P181</f>
        <v>0</v>
      </c>
      <c r="Q170" s="1532" t="str">
        <f>IF(OR($O170&lt;=$M170,$O170=""),"","*CHECK!*")</f>
        <v/>
      </c>
      <c r="R170" s="1001"/>
      <c r="S170" s="2128"/>
      <c r="T170" s="2128"/>
      <c r="U170" s="2128"/>
    </row>
    <row r="171" spans="1:26" s="43" customFormat="1" ht="12.75" customHeight="1">
      <c r="A171" s="455"/>
      <c r="B171" s="1568" t="s">
        <v>1845</v>
      </c>
      <c r="C171" s="2140" t="s">
        <v>6275</v>
      </c>
      <c r="D171" s="177"/>
      <c r="E171" s="177"/>
      <c r="F171" s="177"/>
      <c r="G171" s="177"/>
      <c r="H171" s="177"/>
      <c r="I171" s="177"/>
      <c r="J171" s="177"/>
      <c r="K171" s="177"/>
      <c r="L171" s="177"/>
      <c r="M171" s="1019">
        <v>2</v>
      </c>
      <c r="N171" s="1012" t="s">
        <v>1615</v>
      </c>
      <c r="O171" s="2040">
        <v>2</v>
      </c>
      <c r="P171" s="2159"/>
      <c r="Q171" s="1532" t="str">
        <f>IF(OR($O171=$M171,$O171=0,$O171=""),"","*CHECK!*")</f>
        <v/>
      </c>
      <c r="R171" s="1001" t="s">
        <v>4063</v>
      </c>
      <c r="S171" s="2128"/>
      <c r="T171" s="2128"/>
      <c r="U171" s="2128"/>
    </row>
    <row r="172" spans="1:26" s="417" customFormat="1" ht="12" customHeight="1">
      <c r="B172" s="1012" t="s">
        <v>2241</v>
      </c>
      <c r="C172" s="4317" t="s">
        <v>6688</v>
      </c>
      <c r="D172" s="4317"/>
      <c r="E172" s="4317"/>
      <c r="F172" s="4317"/>
      <c r="G172" s="4317"/>
      <c r="H172" s="4317"/>
      <c r="I172" s="4317"/>
      <c r="J172" s="4317"/>
      <c r="K172" s="4317"/>
      <c r="L172" s="1012"/>
      <c r="M172" s="4334" t="s">
        <v>6094</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2241</v>
      </c>
      <c r="M173" s="4321" t="s">
        <v>6937</v>
      </c>
      <c r="N173" s="4322"/>
      <c r="O173" s="4322"/>
      <c r="P173" s="4323"/>
      <c r="S173" s="2128"/>
      <c r="T173" s="2128"/>
      <c r="U173" s="2128"/>
    </row>
    <row r="174" spans="1:26" s="33" customFormat="1" ht="12.75" customHeight="1">
      <c r="B174" s="400" t="s">
        <v>2242</v>
      </c>
      <c r="C174" s="135" t="s">
        <v>3961</v>
      </c>
      <c r="D174" s="504"/>
      <c r="E174" s="504"/>
      <c r="F174" s="504"/>
      <c r="G174" s="504"/>
      <c r="H174" s="504"/>
      <c r="L174" s="400" t="s">
        <v>2242</v>
      </c>
      <c r="M174" s="4318" t="s">
        <v>6938</v>
      </c>
      <c r="N174" s="4319"/>
      <c r="O174" s="4319"/>
      <c r="P174" s="4320"/>
      <c r="S174" s="2128"/>
      <c r="T174" s="2128"/>
      <c r="U174" s="2128"/>
      <c r="V174" s="586"/>
      <c r="W174" s="586"/>
      <c r="X174" s="586"/>
      <c r="Y174" s="586"/>
      <c r="Z174" s="586"/>
    </row>
    <row r="175" spans="1:26" s="33" customFormat="1" ht="12.75" customHeight="1">
      <c r="B175" s="400" t="s">
        <v>2243</v>
      </c>
      <c r="C175" s="504" t="s">
        <v>6181</v>
      </c>
      <c r="D175" s="504"/>
      <c r="E175" s="504"/>
      <c r="F175" s="504"/>
      <c r="G175" s="504"/>
      <c r="H175" s="504"/>
      <c r="L175" s="400" t="s">
        <v>2243</v>
      </c>
      <c r="M175" s="4318" t="s">
        <v>6939</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6182</v>
      </c>
      <c r="D176" s="504"/>
      <c r="E176" s="504"/>
      <c r="F176" s="504"/>
      <c r="G176" s="504"/>
      <c r="L176" s="400" t="s">
        <v>2244</v>
      </c>
      <c r="M176" s="4371" t="s">
        <v>6940</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6258</v>
      </c>
      <c r="D178" s="1780"/>
      <c r="E178" s="1780"/>
      <c r="F178" s="1780"/>
      <c r="G178" s="1780"/>
      <c r="H178" s="1780"/>
      <c r="I178" s="1780"/>
      <c r="K178" s="1194"/>
      <c r="L178" s="1194"/>
      <c r="R178" s="2128"/>
      <c r="S178" s="2128"/>
      <c r="T178" s="2128"/>
      <c r="U178" s="2128"/>
    </row>
    <row r="179" spans="1:21">
      <c r="A179" s="521"/>
      <c r="B179" s="1012" t="s">
        <v>2241</v>
      </c>
      <c r="C179" s="4390" t="s">
        <v>6185</v>
      </c>
      <c r="D179" s="4390"/>
      <c r="E179" s="4390"/>
      <c r="F179" s="4390"/>
      <c r="G179" s="4390"/>
      <c r="H179" s="4390"/>
      <c r="I179" s="4390"/>
      <c r="J179" s="4390"/>
      <c r="K179" s="4390"/>
      <c r="L179" s="4390"/>
      <c r="M179" s="2453">
        <v>1</v>
      </c>
      <c r="N179" s="1012" t="s">
        <v>4081</v>
      </c>
      <c r="O179" s="2144">
        <v>1</v>
      </c>
      <c r="P179" s="2160"/>
      <c r="Q179" s="1532" t="str">
        <f>IF(OR($O179=$M179,$O179=0,$O179=""),"","*CHECK!*")</f>
        <v/>
      </c>
      <c r="R179" s="1001" t="s">
        <v>4063</v>
      </c>
    </row>
    <row r="180" spans="1:21" ht="36.75" customHeight="1">
      <c r="A180" s="521"/>
      <c r="B180" s="413" t="s">
        <v>2242</v>
      </c>
      <c r="C180" s="4390" t="s">
        <v>6186</v>
      </c>
      <c r="D180" s="4390"/>
      <c r="E180" s="4390"/>
      <c r="F180" s="4390"/>
      <c r="G180" s="4390"/>
      <c r="H180" s="4390"/>
      <c r="I180" s="4390"/>
      <c r="J180" s="4390"/>
      <c r="K180" s="4390"/>
      <c r="L180" s="4390"/>
      <c r="M180" s="2453">
        <v>1</v>
      </c>
      <c r="N180" s="1012" t="s">
        <v>6267</v>
      </c>
      <c r="O180" s="2182">
        <v>1</v>
      </c>
      <c r="P180" s="2183"/>
      <c r="Q180" s="1532" t="str">
        <f>IF(OR($O180=$M180,$O180=0,$O180=""),"","*CHECK!*")</f>
        <v/>
      </c>
      <c r="R180" s="1001" t="s">
        <v>4063</v>
      </c>
    </row>
    <row r="181" spans="1:21" ht="12" customHeight="1">
      <c r="A181" s="521"/>
      <c r="B181" s="2090" t="s">
        <v>2243</v>
      </c>
      <c r="C181" s="2438" t="s">
        <v>6269</v>
      </c>
      <c r="D181" s="1011"/>
      <c r="E181" s="1011"/>
      <c r="F181" s="1011"/>
      <c r="G181" s="1011"/>
      <c r="H181" s="1011"/>
      <c r="I181" s="1011"/>
      <c r="J181" s="1011"/>
      <c r="K181" s="1011"/>
      <c r="L181" s="1011"/>
      <c r="M181" s="1127">
        <v>1</v>
      </c>
      <c r="N181" s="412" t="s">
        <v>6268</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v>2</v>
      </c>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71.25" customHeight="1" thickTop="1" thickBot="1">
      <c r="A185" s="4329" t="s">
        <v>6974</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2651</v>
      </c>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6217</v>
      </c>
      <c r="D192" s="33"/>
      <c r="G192" s="488"/>
      <c r="N192" s="27"/>
      <c r="O192" s="527"/>
      <c r="P192" s="527"/>
      <c r="Q192" s="1009"/>
    </row>
    <row r="193" spans="1:24" s="1684" customFormat="1" ht="12.75" customHeight="1">
      <c r="B193" s="462" t="s">
        <v>1845</v>
      </c>
      <c r="C193" s="4317" t="s">
        <v>6214</v>
      </c>
      <c r="D193" s="4317"/>
      <c r="E193" s="4317"/>
      <c r="F193" s="4317"/>
      <c r="G193" s="4317"/>
      <c r="H193" s="4317"/>
      <c r="I193" s="4317"/>
      <c r="J193" s="4317"/>
      <c r="K193" s="4317"/>
      <c r="L193" s="4317"/>
      <c r="M193" s="1125" t="s">
        <v>698</v>
      </c>
      <c r="N193" s="415" t="s">
        <v>1845</v>
      </c>
      <c r="O193" s="1158" t="s">
        <v>2651</v>
      </c>
      <c r="P193" s="1157"/>
      <c r="Q193" s="1214"/>
      <c r="V193" s="2070"/>
      <c r="W193" s="2070"/>
    </row>
    <row r="194" spans="1:24" s="33" customFormat="1" ht="12.75" customHeight="1">
      <c r="A194" s="521"/>
      <c r="B194" s="462" t="s">
        <v>1847</v>
      </c>
      <c r="C194" s="458" t="s">
        <v>6215</v>
      </c>
      <c r="D194" s="961"/>
      <c r="E194" s="961"/>
      <c r="F194" s="961"/>
      <c r="G194" s="961"/>
      <c r="H194" s="961"/>
      <c r="I194" s="961"/>
      <c r="J194" s="961"/>
      <c r="K194" s="961"/>
      <c r="L194" s="961"/>
      <c r="M194" s="961"/>
      <c r="N194" s="415" t="s">
        <v>1847</v>
      </c>
      <c r="O194" s="389" t="s">
        <v>2651</v>
      </c>
      <c r="P194" s="550"/>
      <c r="Q194" s="1010"/>
      <c r="V194" s="1209"/>
      <c r="W194" s="1209"/>
    </row>
    <row r="195" spans="1:24" s="33" customFormat="1" ht="22.5" customHeight="1">
      <c r="A195" s="521"/>
      <c r="B195" s="462" t="s">
        <v>2333</v>
      </c>
      <c r="C195" s="4390" t="s">
        <v>6218</v>
      </c>
      <c r="D195" s="4390"/>
      <c r="E195" s="4390"/>
      <c r="F195" s="4390"/>
      <c r="G195" s="4390"/>
      <c r="H195" s="4390"/>
      <c r="I195" s="4390"/>
      <c r="J195" s="4390"/>
      <c r="K195" s="4390"/>
      <c r="L195" s="4390"/>
      <c r="M195" s="1008"/>
      <c r="N195" s="415" t="s">
        <v>2333</v>
      </c>
      <c r="O195" s="2127" t="s">
        <v>2651</v>
      </c>
      <c r="P195" s="2126"/>
      <c r="Q195" s="1010"/>
      <c r="V195" s="1209"/>
      <c r="W195" s="1209"/>
    </row>
    <row r="196" spans="1:24" ht="11.45" customHeight="1">
      <c r="A196" s="139" t="s">
        <v>1963</v>
      </c>
      <c r="B196" s="190" t="s">
        <v>6216</v>
      </c>
      <c r="D196" s="33"/>
      <c r="G196" s="488"/>
      <c r="N196" s="27"/>
      <c r="O196" s="527"/>
      <c r="P196" s="527"/>
      <c r="Q196" s="1009"/>
    </row>
    <row r="197" spans="1:24" s="1684" customFormat="1" ht="23.25" customHeight="1">
      <c r="B197" s="462" t="s">
        <v>1845</v>
      </c>
      <c r="C197" s="4317" t="s">
        <v>6219</v>
      </c>
      <c r="D197" s="4317"/>
      <c r="E197" s="4317"/>
      <c r="F197" s="4317"/>
      <c r="G197" s="4317"/>
      <c r="H197" s="4317"/>
      <c r="I197" s="4317"/>
      <c r="J197" s="4317"/>
      <c r="K197" s="4317"/>
      <c r="L197" s="4317"/>
      <c r="M197" s="1125" t="s">
        <v>1963</v>
      </c>
      <c r="N197" s="415" t="s">
        <v>1845</v>
      </c>
      <c r="O197" s="1158" t="s">
        <v>2651</v>
      </c>
      <c r="P197" s="1157"/>
      <c r="Q197" s="1214"/>
      <c r="V197" s="2070"/>
      <c r="W197" s="2070"/>
    </row>
    <row r="198" spans="1:24" s="33" customFormat="1" ht="23.25" customHeight="1">
      <c r="A198" s="521"/>
      <c r="B198" s="462" t="s">
        <v>1847</v>
      </c>
      <c r="C198" s="4390" t="s">
        <v>6260</v>
      </c>
      <c r="D198" s="4390"/>
      <c r="E198" s="4390"/>
      <c r="F198" s="4390"/>
      <c r="G198" s="4390"/>
      <c r="H198" s="4390"/>
      <c r="I198" s="4390"/>
      <c r="J198" s="4390"/>
      <c r="K198" s="4390"/>
      <c r="L198" s="4390"/>
      <c r="M198" s="961"/>
      <c r="N198" s="415" t="s">
        <v>1847</v>
      </c>
      <c r="O198" s="1937" t="s">
        <v>2651</v>
      </c>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394" t="s">
        <v>6975</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c r="P206" s="847"/>
      <c r="Q206" s="1532" t="str">
        <f>IF(O206&lt;=M206,"","*CHECK!*")</f>
        <v/>
      </c>
      <c r="R206" s="1001" t="s">
        <v>4063</v>
      </c>
      <c r="S206" s="2130"/>
      <c r="T206" s="2130"/>
      <c r="U206" s="2130"/>
    </row>
    <row r="207" spans="1:24" customFormat="1" ht="12.75" customHeight="1">
      <c r="B207" s="2147"/>
      <c r="C207" s="2140" t="s">
        <v>6261</v>
      </c>
      <c r="D207" s="2148"/>
      <c r="E207" s="2149"/>
      <c r="F207" s="2149"/>
      <c r="G207" s="2148"/>
      <c r="H207" s="2148"/>
      <c r="I207" s="2148"/>
      <c r="J207" s="4348" t="s">
        <v>3208</v>
      </c>
      <c r="K207" s="4349"/>
      <c r="L207" s="4350"/>
      <c r="M207" s="4351"/>
      <c r="N207" s="2150"/>
      <c r="O207" s="1202"/>
      <c r="P207" s="2121"/>
      <c r="Q207" s="27"/>
      <c r="R207" s="2151"/>
      <c r="S207" s="2148"/>
    </row>
    <row r="208" spans="1:24" customFormat="1" ht="12.75" customHeight="1">
      <c r="C208" s="2152" t="s">
        <v>6262</v>
      </c>
      <c r="D208" s="1641"/>
      <c r="J208" s="4415"/>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6220</v>
      </c>
      <c r="C210" s="52"/>
      <c r="E210" s="596"/>
      <c r="K210" s="412"/>
      <c r="L210" s="412"/>
      <c r="M210" s="1127">
        <v>5</v>
      </c>
      <c r="N210" s="412" t="s">
        <v>1844</v>
      </c>
      <c r="O210" s="599"/>
      <c r="P210" s="847"/>
      <c r="Q210" s="1532" t="str">
        <f>IF(O210&lt;=M210,"","*CHECK!*")</f>
        <v/>
      </c>
      <c r="R210" s="1001" t="s">
        <v>4063</v>
      </c>
      <c r="S210" s="2130"/>
      <c r="T210" s="2130"/>
      <c r="U210" s="2130"/>
    </row>
    <row r="211" spans="1:37" customFormat="1">
      <c r="C211" s="2154" t="s">
        <v>6226</v>
      </c>
      <c r="D211" s="27"/>
      <c r="E211" s="4533" t="s">
        <v>6225</v>
      </c>
      <c r="F211" s="4533"/>
      <c r="G211" s="4533"/>
      <c r="H211" s="4533"/>
      <c r="I211" s="2085" t="s">
        <v>6252</v>
      </c>
      <c r="J211" s="4533" t="s">
        <v>6225</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6223</v>
      </c>
      <c r="D212" s="27"/>
      <c r="E212" s="4534"/>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403"/>
      <c r="F213" s="4404"/>
      <c r="G213" s="4404"/>
      <c r="H213" s="4405"/>
      <c r="I213" s="2578"/>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403"/>
      <c r="F214" s="4404"/>
      <c r="G214" s="4404"/>
      <c r="H214" s="4405"/>
      <c r="I214" s="2578"/>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0"/>
      <c r="F215" s="4401"/>
      <c r="G215" s="4401"/>
      <c r="H215" s="4402"/>
      <c r="I215" s="2579"/>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4.9" customHeight="1" thickTop="1" thickBot="1">
      <c r="A219" s="4329" t="s">
        <v>6942</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391" t="str">
        <f>M54</f>
        <v>New Supply</v>
      </c>
      <c r="L224" s="439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3156</v>
      </c>
      <c r="H225" s="1509">
        <f>IF('Part V-Revenues &amp; Expenses'!$P$67=0,0,'Part V-Revenues &amp; Expenses'!$P$64/'Part V-Revenues &amp; Expenses'!$P$67)</f>
        <v>0</v>
      </c>
      <c r="J225" s="488" t="s">
        <v>3964</v>
      </c>
      <c r="K225" s="4407" t="str">
        <f>'Part V-Revenues &amp; Expenses'!$O$53</f>
        <v>Income Averaging</v>
      </c>
      <c r="L225" s="4408"/>
      <c r="M225" s="60"/>
      <c r="N225" s="872"/>
      <c r="O225" s="2106"/>
      <c r="P225" s="3"/>
    </row>
    <row r="226" spans="1:24" ht="12" customHeight="1">
      <c r="A226" s="1675" t="s">
        <v>1842</v>
      </c>
      <c r="B226" s="1681" t="s">
        <v>3962</v>
      </c>
      <c r="C226" s="442"/>
      <c r="E226" s="305" t="s">
        <v>3963</v>
      </c>
      <c r="M226" s="598">
        <v>1</v>
      </c>
      <c r="N226" s="478" t="s">
        <v>1842</v>
      </c>
      <c r="O226" s="1685"/>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39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398"/>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29" t="s">
        <v>6941</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6263</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6264</v>
      </c>
      <c r="E243" s="458" t="s">
        <v>3312</v>
      </c>
      <c r="G243" s="2164"/>
      <c r="H243" s="412" t="s">
        <v>574</v>
      </c>
      <c r="I243" s="4529"/>
      <c r="J243" s="4529"/>
      <c r="L243" s="2187" t="s">
        <v>6266</v>
      </c>
      <c r="M243" s="4530"/>
      <c r="N243" s="4530"/>
    </row>
    <row r="244" spans="1:27" s="118" customFormat="1" ht="11.25" customHeight="1">
      <c r="A244" s="399"/>
      <c r="B244" s="462" t="s">
        <v>1847</v>
      </c>
      <c r="C244" s="2140" t="s">
        <v>6265</v>
      </c>
      <c r="E244" s="458" t="s">
        <v>3312</v>
      </c>
      <c r="G244" s="2165"/>
      <c r="H244" s="412" t="s">
        <v>574</v>
      </c>
      <c r="I244" s="4399"/>
      <c r="J244" s="4399"/>
      <c r="L244" s="2187" t="s">
        <v>6266</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29" t="s">
        <v>6942</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6272</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6271</v>
      </c>
      <c r="D252" s="596"/>
      <c r="M252" s="1019">
        <v>5</v>
      </c>
      <c r="N252" s="478" t="s">
        <v>1842</v>
      </c>
      <c r="O252" s="2167">
        <v>5</v>
      </c>
      <c r="P252" s="1151"/>
      <c r="Q252" s="1004" t="str">
        <f>IF(OR($O252=$M252,$O252=$M252-1,$O252=0,$O252=""),"","*CHECK!*")</f>
        <v/>
      </c>
      <c r="R252" s="1001" t="s">
        <v>4063</v>
      </c>
      <c r="S252" s="2166"/>
      <c r="T252" s="2166"/>
      <c r="U252" s="2166"/>
      <c r="V252" s="2166"/>
    </row>
    <row r="253" spans="1:27" s="33" customFormat="1" ht="11.25" customHeight="1">
      <c r="A253" s="139" t="s">
        <v>1844</v>
      </c>
      <c r="B253" s="190" t="s">
        <v>6273</v>
      </c>
      <c r="D253" s="596"/>
      <c r="M253" s="1019">
        <v>3</v>
      </c>
      <c r="N253" s="478" t="s">
        <v>1844</v>
      </c>
      <c r="O253" s="534"/>
      <c r="P253" s="544"/>
      <c r="Q253" s="1004" t="str">
        <f t="shared" ref="Q253:Q254" si="3">IF(OR($O253=$M253,$O253=$M253-1,$O253=0,$O253=""),"","*CHECK!*")</f>
        <v/>
      </c>
      <c r="R253" s="1001" t="s">
        <v>4063</v>
      </c>
    </row>
    <row r="254" spans="1:27">
      <c r="A254" s="139" t="s">
        <v>698</v>
      </c>
      <c r="B254" s="190" t="s">
        <v>6274</v>
      </c>
      <c r="E254" s="40" t="s">
        <v>6236</v>
      </c>
      <c r="I254" s="1683"/>
      <c r="L254" s="2087"/>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329" t="s">
        <v>6943</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6621</v>
      </c>
      <c r="C266" s="4162"/>
      <c r="D266" s="4162"/>
      <c r="E266" s="4162"/>
      <c r="F266" s="4162"/>
      <c r="G266" s="4162"/>
      <c r="H266" s="4162"/>
      <c r="I266" s="4162"/>
      <c r="J266" s="4162"/>
      <c r="K266" s="4162"/>
      <c r="L266" s="4162"/>
      <c r="M266" s="7"/>
      <c r="N266" s="478"/>
      <c r="O266" s="1198"/>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6237</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6578</v>
      </c>
      <c r="C273" s="92"/>
      <c r="D273" s="59"/>
      <c r="E273" s="59"/>
      <c r="G273" s="2117"/>
      <c r="H273" s="185"/>
      <c r="I273" s="2112" t="s">
        <v>6145</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6579</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6580</v>
      </c>
      <c r="D276" s="634"/>
      <c r="L276" s="1013"/>
      <c r="M276" s="2327">
        <v>2</v>
      </c>
      <c r="N276" s="478" t="s">
        <v>1844</v>
      </c>
      <c r="O276" s="2423"/>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29" t="s">
        <v>6944</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359" t="s">
        <v>2854</v>
      </c>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6699</v>
      </c>
      <c r="G287" s="185"/>
      <c r="I287" s="4363" t="s">
        <v>2854</v>
      </c>
      <c r="J287" s="4364"/>
      <c r="M287" s="595"/>
      <c r="O287" s="2589"/>
      <c r="P287" s="2590"/>
      <c r="Q287" s="110"/>
      <c r="R287" s="2130"/>
      <c r="S287" s="2130"/>
      <c r="T287" s="2130"/>
      <c r="U287" s="2130"/>
      <c r="V287" s="2130"/>
      <c r="W287" s="43"/>
      <c r="X287" s="43"/>
    </row>
    <row r="288" spans="1:24" s="103" customFormat="1" ht="11.25" customHeight="1">
      <c r="A288" s="154"/>
      <c r="C288" s="36" t="s">
        <v>6701</v>
      </c>
      <c r="G288" s="185"/>
      <c r="I288" s="4365" t="s">
        <v>6976</v>
      </c>
      <c r="J288" s="4366"/>
      <c r="K288" s="4367"/>
      <c r="L288" s="4368"/>
      <c r="M288" s="595"/>
      <c r="O288" s="4369" t="s">
        <v>3153</v>
      </c>
      <c r="P288" s="4369" t="s">
        <v>3154</v>
      </c>
      <c r="Q288" s="110"/>
      <c r="R288" s="2130"/>
      <c r="S288" s="2130"/>
      <c r="T288" s="2130"/>
      <c r="U288" s="2130"/>
      <c r="V288" s="2130"/>
      <c r="W288" s="43"/>
      <c r="X288" s="43"/>
    </row>
    <row r="289" spans="1:22" s="43" customFormat="1" ht="11.25" customHeight="1">
      <c r="A289" s="154"/>
      <c r="B289" s="36" t="s">
        <v>6587</v>
      </c>
      <c r="D289" s="41"/>
      <c r="H289" s="177"/>
      <c r="M289" s="2419"/>
      <c r="N289" s="478"/>
      <c r="O289" s="4370"/>
      <c r="P289" s="4370"/>
      <c r="Q289" s="110"/>
      <c r="R289" s="2437"/>
      <c r="S289" s="2437"/>
      <c r="T289" s="2437"/>
      <c r="U289" s="2437"/>
    </row>
    <row r="290" spans="1:22" s="43" customFormat="1" ht="11.25" customHeight="1">
      <c r="A290" s="2588"/>
      <c r="B290" s="1012" t="s">
        <v>2241</v>
      </c>
      <c r="C290" s="36" t="s">
        <v>6586</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6707</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6588</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6584</v>
      </c>
      <c r="D294" s="634"/>
      <c r="E294" s="634"/>
      <c r="G294" s="634" t="s">
        <v>6592</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94" t="s">
        <v>6593</v>
      </c>
      <c r="D295" s="4094"/>
      <c r="E295" s="4094"/>
      <c r="F295" s="4094"/>
      <c r="G295" s="4094"/>
      <c r="H295" s="4094"/>
      <c r="I295" s="4094"/>
      <c r="J295" s="4094"/>
      <c r="K295" s="4094"/>
      <c r="L295" s="4094"/>
      <c r="M295" s="4094"/>
      <c r="N295" s="187" t="s">
        <v>1845</v>
      </c>
      <c r="O295" s="2362" t="s">
        <v>2651</v>
      </c>
      <c r="P295" s="1623"/>
      <c r="Q295" s="2092"/>
      <c r="R295" s="2439"/>
      <c r="S295" s="2439"/>
      <c r="T295" s="2439"/>
      <c r="U295" s="2439"/>
    </row>
    <row r="296" spans="1:22" s="436" customFormat="1" ht="21.75" customHeight="1" thickBot="1">
      <c r="A296" s="2091"/>
      <c r="B296" s="462" t="s">
        <v>1847</v>
      </c>
      <c r="C296" s="4094" t="s">
        <v>6594</v>
      </c>
      <c r="D296" s="4094"/>
      <c r="E296" s="4094"/>
      <c r="F296" s="4094"/>
      <c r="G296" s="4094"/>
      <c r="H296" s="4094"/>
      <c r="I296" s="4094"/>
      <c r="J296" s="4094"/>
      <c r="K296" s="4094"/>
      <c r="L296" s="4094"/>
      <c r="M296" s="4094"/>
      <c r="N296" s="2440" t="s">
        <v>1847</v>
      </c>
      <c r="O296" s="2431" t="s">
        <v>2651</v>
      </c>
      <c r="P296" s="2430"/>
      <c r="Q296" s="2092"/>
      <c r="R296" s="2439"/>
      <c r="S296" s="2439"/>
      <c r="T296" s="2439"/>
      <c r="U296" s="2439"/>
    </row>
    <row r="297" spans="1:22" ht="11.25" customHeight="1" thickBot="1">
      <c r="A297" s="1675" t="s">
        <v>1844</v>
      </c>
      <c r="B297" s="1128" t="s">
        <v>6585</v>
      </c>
      <c r="D297" s="634"/>
      <c r="G297" s="457" t="s">
        <v>6595</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4" t="s">
        <v>6596</v>
      </c>
      <c r="D298" s="4094"/>
      <c r="E298" s="4094"/>
      <c r="F298" s="4094"/>
      <c r="G298" s="4094"/>
      <c r="H298" s="4094"/>
      <c r="I298" s="4094"/>
      <c r="J298" s="4094"/>
      <c r="K298" s="4094"/>
      <c r="L298" s="4094"/>
      <c r="M298" s="4094"/>
      <c r="N298" s="187" t="s">
        <v>1845</v>
      </c>
      <c r="O298" s="2362"/>
      <c r="P298" s="1623"/>
      <c r="Q298" s="2092"/>
      <c r="R298" s="2439"/>
      <c r="S298" s="2439"/>
      <c r="T298" s="2439"/>
      <c r="U298" s="2439"/>
    </row>
    <row r="299" spans="1:22" s="436" customFormat="1" ht="10.5" customHeight="1">
      <c r="A299" s="2091"/>
      <c r="B299" s="462" t="s">
        <v>1847</v>
      </c>
      <c r="C299" s="4094" t="s">
        <v>6597</v>
      </c>
      <c r="D299" s="4094"/>
      <c r="E299" s="4094"/>
      <c r="F299" s="4094"/>
      <c r="G299" s="4094"/>
      <c r="H299" s="4094"/>
      <c r="I299" s="4094"/>
      <c r="J299" s="4094"/>
      <c r="K299" s="4094"/>
      <c r="L299" s="4094"/>
      <c r="M299" s="4094"/>
      <c r="N299" s="2440" t="s">
        <v>1847</v>
      </c>
      <c r="O299" s="2431"/>
      <c r="P299" s="2430"/>
      <c r="Q299" s="2092"/>
      <c r="R299" s="2439"/>
      <c r="S299" s="2439"/>
      <c r="T299" s="2439"/>
      <c r="U299" s="2439"/>
    </row>
    <row r="300" spans="1:22" s="436" customFormat="1" ht="10.5" customHeight="1">
      <c r="A300" s="2091"/>
      <c r="B300" s="462" t="s">
        <v>2333</v>
      </c>
      <c r="C300" s="876" t="s">
        <v>6703</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6598</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94" t="s">
        <v>6600</v>
      </c>
      <c r="D303" s="4094"/>
      <c r="E303" s="4094"/>
      <c r="F303" s="4094"/>
      <c r="G303" s="4094"/>
      <c r="H303" s="4094"/>
      <c r="I303" s="4094"/>
      <c r="J303" s="4094"/>
      <c r="K303" s="4094"/>
      <c r="L303" s="4094"/>
      <c r="M303" s="4094"/>
      <c r="N303" s="2440" t="s">
        <v>1151</v>
      </c>
      <c r="O303" s="2431"/>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329" t="s">
        <v>6977</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6590</v>
      </c>
      <c r="D310" s="634"/>
      <c r="E310" s="634" t="s">
        <v>6601</v>
      </c>
      <c r="F310" s="634"/>
      <c r="G310" s="634"/>
      <c r="H310" s="634"/>
      <c r="I310" s="4526"/>
      <c r="J310" s="4527"/>
      <c r="K310" s="4527"/>
      <c r="L310" s="4528"/>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6591</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329" t="s">
        <v>6978</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t="s">
        <v>2654</v>
      </c>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Yes</v>
      </c>
      <c r="M319" s="598">
        <v>2</v>
      </c>
      <c r="N319" s="478" t="s">
        <v>1842</v>
      </c>
      <c r="P319" s="546"/>
      <c r="Q319" s="110"/>
      <c r="R319" s="1103" t="s">
        <v>2460</v>
      </c>
    </row>
    <row r="320" spans="1:22" s="103" customFormat="1" ht="10.5" customHeight="1">
      <c r="A320" s="1675"/>
      <c r="B320" s="399" t="s">
        <v>1845</v>
      </c>
      <c r="C320" s="36" t="s">
        <v>3844</v>
      </c>
      <c r="D320" s="33"/>
      <c r="N320" s="460" t="s">
        <v>3845</v>
      </c>
      <c r="O320" s="230" t="s">
        <v>2651</v>
      </c>
      <c r="P320" s="549"/>
      <c r="R320" s="401"/>
    </row>
    <row r="321" spans="1:19" s="103" customFormat="1" ht="10.5" customHeight="1">
      <c r="A321" s="1675"/>
      <c r="B321" s="399"/>
      <c r="C321" s="36" t="s">
        <v>6581</v>
      </c>
      <c r="D321" s="33"/>
      <c r="N321" s="460" t="s">
        <v>3846</v>
      </c>
      <c r="O321" s="389" t="s">
        <v>2654</v>
      </c>
      <c r="P321" s="550"/>
      <c r="R321" s="401"/>
    </row>
    <row r="322" spans="1:19" s="103" customFormat="1" ht="10.5" customHeight="1">
      <c r="A322" s="1675"/>
      <c r="B322" s="399" t="s">
        <v>1847</v>
      </c>
      <c r="C322" s="36" t="s">
        <v>3351</v>
      </c>
      <c r="D322" s="33"/>
      <c r="N322" s="874" t="s">
        <v>1847</v>
      </c>
      <c r="O322" s="389" t="s">
        <v>2651</v>
      </c>
      <c r="P322" s="550"/>
      <c r="R322" s="401"/>
    </row>
    <row r="323" spans="1:19" s="103" customFormat="1" ht="10.5" customHeight="1">
      <c r="A323" s="1675"/>
      <c r="B323" s="399" t="s">
        <v>2333</v>
      </c>
      <c r="C323" s="36" t="s">
        <v>3847</v>
      </c>
      <c r="D323" s="33"/>
      <c r="N323" s="874" t="s">
        <v>2333</v>
      </c>
      <c r="O323" s="389" t="s">
        <v>2651</v>
      </c>
      <c r="P323" s="550"/>
      <c r="R323" s="401"/>
    </row>
    <row r="324" spans="1:19" s="103" customFormat="1" ht="10.5" customHeight="1">
      <c r="A324" s="1194"/>
      <c r="B324" s="399" t="s">
        <v>1151</v>
      </c>
      <c r="C324" s="36" t="s">
        <v>3352</v>
      </c>
      <c r="D324" s="33"/>
      <c r="N324" s="874" t="s">
        <v>1151</v>
      </c>
      <c r="O324" s="231" t="s">
        <v>2651</v>
      </c>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6582</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8" t="s">
        <v>4063</v>
      </c>
      <c r="S333" s="2168"/>
    </row>
    <row r="334" spans="1:19" s="43" customFormat="1" ht="11.25" customHeight="1">
      <c r="A334" s="139"/>
      <c r="B334" s="114" t="s">
        <v>3157</v>
      </c>
      <c r="D334" s="89"/>
      <c r="E334" s="89"/>
      <c r="G334" s="52"/>
      <c r="I334" s="3847" t="s">
        <v>6918</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329" t="s">
        <v>7000</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3378</v>
      </c>
      <c r="B341" s="106" t="s">
        <v>3349</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
      </c>
      <c r="M343" s="4397"/>
      <c r="N343" s="400" t="s">
        <v>2241</v>
      </c>
      <c r="O343" s="230" t="s">
        <v>2651</v>
      </c>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3277</v>
      </c>
      <c r="L344" s="4397"/>
      <c r="M344" s="4397"/>
      <c r="N344" s="400" t="s">
        <v>2242</v>
      </c>
      <c r="O344" s="389" t="s">
        <v>2651</v>
      </c>
      <c r="P344" s="550"/>
      <c r="R344" s="4393"/>
      <c r="S344" s="4393"/>
    </row>
    <row r="345" spans="1:20" s="101" customFormat="1" ht="12.75" customHeight="1">
      <c r="B345" s="400" t="s">
        <v>2243</v>
      </c>
      <c r="C345" s="135" t="s">
        <v>3276</v>
      </c>
      <c r="L345" s="4397"/>
      <c r="M345" s="4397"/>
      <c r="N345" s="400" t="s">
        <v>2243</v>
      </c>
      <c r="O345" s="389" t="s">
        <v>2651</v>
      </c>
      <c r="P345" s="550"/>
      <c r="R345" s="4393"/>
      <c r="S345" s="4393"/>
    </row>
    <row r="346" spans="1:20" s="101" customFormat="1" ht="33.75" customHeight="1">
      <c r="B346" s="413" t="s">
        <v>2244</v>
      </c>
      <c r="C346" s="4390" t="s">
        <v>6602</v>
      </c>
      <c r="D346" s="4390"/>
      <c r="E346" s="4390"/>
      <c r="F346" s="4390"/>
      <c r="G346" s="4390"/>
      <c r="H346" s="4390"/>
      <c r="I346" s="4390"/>
      <c r="J346" s="4390"/>
      <c r="K346" s="4390"/>
      <c r="L346" s="4390"/>
      <c r="M346" s="4390"/>
      <c r="N346" s="413" t="s">
        <v>2244</v>
      </c>
      <c r="O346" s="1174" t="s">
        <v>2651</v>
      </c>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3350</v>
      </c>
      <c r="L348" s="401" t="str">
        <f>IF(O348&lt;=M348,"","* * Check Score! * *")</f>
        <v/>
      </c>
      <c r="M348" s="1127">
        <v>3</v>
      </c>
      <c r="N348" s="478" t="s">
        <v>1842</v>
      </c>
      <c r="O348" s="2118">
        <v>1</v>
      </c>
      <c r="P348" s="2119"/>
      <c r="Q348" s="1004" t="str">
        <f>IF(O348&lt;=M348,"","*CHECK!*")</f>
        <v/>
      </c>
      <c r="R348" s="1076" t="s">
        <v>4063</v>
      </c>
      <c r="S348" s="1076"/>
      <c r="T348" s="1819"/>
    </row>
    <row r="349" spans="1:20" ht="12.75" customHeight="1">
      <c r="A349" s="1020"/>
      <c r="B349" s="876" t="s">
        <v>6719</v>
      </c>
      <c r="C349" s="1007"/>
      <c r="D349" s="1007"/>
      <c r="E349" s="1007"/>
      <c r="F349" s="1007"/>
      <c r="G349" s="1007"/>
      <c r="H349" s="1007"/>
      <c r="I349" s="1007"/>
      <c r="N349" s="27"/>
      <c r="O349" s="2049" t="s">
        <v>2654</v>
      </c>
      <c r="P349" s="2107"/>
      <c r="R349" s="1076"/>
      <c r="S349" s="1076"/>
      <c r="T349" s="1819"/>
    </row>
    <row r="350" spans="1:20" ht="12.75" customHeight="1">
      <c r="A350" s="1020"/>
      <c r="B350" s="2622" t="s">
        <v>6718</v>
      </c>
      <c r="C350" s="1007"/>
      <c r="D350" s="1007"/>
      <c r="E350" s="1007"/>
      <c r="F350" s="1007"/>
      <c r="G350" s="1007"/>
      <c r="H350" s="1007"/>
      <c r="I350" s="1007"/>
      <c r="J350" s="4389" t="s">
        <v>1849</v>
      </c>
      <c r="K350" s="4389"/>
      <c r="M350" s="4389" t="s">
        <v>1849</v>
      </c>
      <c r="N350" s="4389"/>
      <c r="O350" s="4389"/>
      <c r="P350" s="4389"/>
      <c r="R350" s="2432"/>
      <c r="S350" s="2432"/>
      <c r="T350" s="1819"/>
    </row>
    <row r="351" spans="1:20" s="43" customFormat="1" ht="12.75" customHeight="1">
      <c r="A351" s="188"/>
      <c r="B351" s="2440" t="s">
        <v>6604</v>
      </c>
      <c r="C351" s="36" t="s">
        <v>1389</v>
      </c>
      <c r="I351" s="400" t="s">
        <v>2241</v>
      </c>
      <c r="J351" s="4481"/>
      <c r="K351" s="4482"/>
      <c r="L351" s="400" t="s">
        <v>2241</v>
      </c>
      <c r="M351" s="4345"/>
      <c r="N351" s="4346"/>
      <c r="O351" s="4346"/>
      <c r="P351" s="4347"/>
      <c r="R351" s="401"/>
    </row>
    <row r="352" spans="1:20" ht="12.75" customHeight="1">
      <c r="A352" s="189"/>
      <c r="B352" s="413" t="s">
        <v>2242</v>
      </c>
      <c r="C352" s="36" t="s">
        <v>3159</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6239</v>
      </c>
      <c r="I357" s="400" t="s">
        <v>2262</v>
      </c>
      <c r="J357" s="4340"/>
      <c r="K357" s="4341"/>
      <c r="L357" s="400" t="s">
        <v>2262</v>
      </c>
      <c r="M357" s="2082"/>
      <c r="N357" s="2083"/>
      <c r="O357" s="2083"/>
      <c r="P357" s="2084"/>
      <c r="R357" s="401"/>
    </row>
    <row r="358" spans="1:22" ht="12.75" customHeight="1">
      <c r="A358" s="189"/>
      <c r="B358" s="412" t="s">
        <v>2263</v>
      </c>
      <c r="C358" s="36" t="s">
        <v>3158</v>
      </c>
      <c r="I358" s="412" t="s">
        <v>2263</v>
      </c>
      <c r="J358" s="4340"/>
      <c r="K358" s="4341"/>
      <c r="L358" s="412" t="s">
        <v>2263</v>
      </c>
      <c r="M358" s="4342"/>
      <c r="N358" s="4343"/>
      <c r="O358" s="4343"/>
      <c r="P358" s="4344"/>
      <c r="R358" s="401"/>
    </row>
    <row r="359" spans="1:22" ht="12.75" customHeight="1">
      <c r="B359" s="412" t="s">
        <v>2264</v>
      </c>
      <c r="C359" s="36" t="s">
        <v>6605</v>
      </c>
      <c r="I359" s="412" t="s">
        <v>2264</v>
      </c>
      <c r="J359" s="4340"/>
      <c r="K359" s="4341"/>
      <c r="L359" s="412" t="s">
        <v>2264</v>
      </c>
      <c r="M359" s="4342"/>
      <c r="N359" s="4343"/>
      <c r="O359" s="4343"/>
      <c r="P359" s="4344"/>
      <c r="R359" s="401"/>
    </row>
    <row r="360" spans="1:22" ht="12.75" customHeight="1">
      <c r="B360" s="412" t="s">
        <v>3160</v>
      </c>
      <c r="C360" s="36" t="s">
        <v>3830</v>
      </c>
      <c r="I360" s="412" t="s">
        <v>3160</v>
      </c>
      <c r="J360" s="4340"/>
      <c r="K360" s="4341"/>
      <c r="L360" s="412" t="s">
        <v>3160</v>
      </c>
      <c r="M360" s="4342"/>
      <c r="N360" s="4343"/>
      <c r="O360" s="4343"/>
      <c r="P360" s="4344"/>
      <c r="R360" s="401"/>
    </row>
    <row r="361" spans="1:22" ht="12.75" customHeight="1" thickBot="1">
      <c r="B361" s="412" t="s">
        <v>6240</v>
      </c>
      <c r="C361" s="36" t="s">
        <v>6241</v>
      </c>
      <c r="I361" s="412" t="s">
        <v>6240</v>
      </c>
      <c r="J361" s="4340">
        <v>600000</v>
      </c>
      <c r="K361" s="4341"/>
      <c r="L361" s="412" t="s">
        <v>6240</v>
      </c>
      <c r="M361" s="4382"/>
      <c r="N361" s="4383"/>
      <c r="O361" s="4383"/>
      <c r="P361" s="4384"/>
      <c r="R361" s="401"/>
    </row>
    <row r="362" spans="1:22" ht="12.75" customHeight="1" thickBot="1">
      <c r="B362" s="1178" t="s">
        <v>6606</v>
      </c>
      <c r="H362" s="1196" t="s">
        <v>2414</v>
      </c>
      <c r="J362" s="4477">
        <f>SUM(J351:K361)</f>
        <v>600000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6242</v>
      </c>
      <c r="H364" s="27"/>
      <c r="I364" s="27"/>
      <c r="J364" s="4357">
        <f>'Part V-Revenues &amp; Expenses'!$P$67</f>
        <v>50</v>
      </c>
      <c r="K364" s="4358"/>
      <c r="L364" s="560"/>
      <c r="M364" s="516"/>
      <c r="N364" s="516"/>
      <c r="O364" s="1121"/>
      <c r="P364" s="516"/>
    </row>
    <row r="365" spans="1:22" ht="13.5" customHeight="1">
      <c r="C365" s="1006"/>
      <c r="D365" s="1006"/>
      <c r="E365" s="1006"/>
      <c r="F365" s="461" t="s">
        <v>6243</v>
      </c>
      <c r="J365" s="4355">
        <f>IF(J364=0,0,J362/J364)</f>
        <v>12000</v>
      </c>
      <c r="K365" s="4356"/>
      <c r="M365" s="4483">
        <f>IF($J364=0,0,$M362/$J364)</f>
        <v>0</v>
      </c>
      <c r="N365" s="4484"/>
      <c r="O365" s="4484"/>
      <c r="P365" s="4485"/>
    </row>
    <row r="366" spans="1:22" s="43" customFormat="1" ht="12.75" customHeight="1">
      <c r="C366" s="1006"/>
      <c r="D366" s="1006"/>
      <c r="E366" s="1006"/>
      <c r="F366" s="1064" t="s">
        <v>6244</v>
      </c>
      <c r="I366" s="27"/>
      <c r="J366" s="4352">
        <f>IF(L343="", IF($J365&gt;=30000, 3,IF($J365&gt;=20000, 2,IF($J365&gt;=10000,1,0))),0)</f>
        <v>1</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1844</v>
      </c>
      <c r="B368" s="192" t="s">
        <v>3161</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3" t="s">
        <v>6607</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c r="P370" s="550"/>
      <c r="V370" s="1077"/>
    </row>
    <row r="371" spans="1:22" ht="12.75" customHeight="1">
      <c r="B371" s="399" t="s">
        <v>2333</v>
      </c>
      <c r="C371" s="457" t="s">
        <v>3831</v>
      </c>
      <c r="N371" s="874" t="s">
        <v>2333</v>
      </c>
      <c r="O371" s="2423"/>
      <c r="P371" s="551"/>
    </row>
    <row r="372" spans="1:22" ht="12" customHeight="1" thickBot="1">
      <c r="B372" s="1197" t="s">
        <v>3243</v>
      </c>
    </row>
    <row r="373" spans="1:22" s="43" customFormat="1" ht="30.6" customHeight="1" thickTop="1" thickBot="1">
      <c r="A373" s="4329" t="s">
        <v>7001</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3890</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377" t="s">
        <v>6608</v>
      </c>
      <c r="C382" s="4377"/>
      <c r="D382" s="4377"/>
      <c r="E382" s="4377"/>
      <c r="F382" s="4377"/>
      <c r="G382" s="4377"/>
      <c r="H382" s="4377"/>
      <c r="I382" s="4377"/>
      <c r="J382" s="4377"/>
      <c r="K382" s="4377"/>
      <c r="L382" s="4377"/>
      <c r="M382" s="4381" t="s">
        <v>3891</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50</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3417</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50</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329" t="s">
        <v>6979</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6612</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6613</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6614</v>
      </c>
      <c r="H409" s="2140"/>
      <c r="M409" s="1019">
        <v>2</v>
      </c>
      <c r="N409" s="2186"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v>0</v>
      </c>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329" t="s">
        <v>7002</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6246</v>
      </c>
      <c r="D417" s="45"/>
      <c r="E417" s="45"/>
      <c r="F417" s="39"/>
      <c r="L417" s="1004"/>
      <c r="M417" s="2078">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329" t="s">
        <v>907</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6615</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6616</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329" t="s">
        <v>907</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6138</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6139</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329" t="s">
        <v>907</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6750</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71.5</v>
      </c>
      <c r="P441" s="2104">
        <f>-P10+P63+P88+P102+P112+P151+P168+P189+P204+P224+P232+P241+P251+P260+P273+P284+P309+P317+P333+P341+P377+P396+P404+P423+P427+P433</f>
        <v>25</v>
      </c>
      <c r="Q441" s="4253"/>
      <c r="R441" s="4253"/>
      <c r="S441" s="4253"/>
      <c r="T441" s="4253"/>
      <c r="U441" s="4253"/>
      <c r="V441" s="4253"/>
      <c r="W441" s="4253"/>
      <c r="X441" s="4253"/>
      <c r="Y441" s="4253"/>
      <c r="Z441" s="4253"/>
      <c r="AA441" s="4253"/>
    </row>
    <row r="442" spans="1:27" s="43" customFormat="1" ht="15.7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6705</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15" customHeight="1">
      <c r="A445" s="4000" t="s">
        <v>6980</v>
      </c>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3263</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67 P432 P395 P188 P150 P376 P403 P416 P405 P422 P426 P41:P43 P47:P48">
      <formula1>"Yes, No"</formula1>
    </dataValidation>
    <dataValidation type="whole" operator="lessThanOrEqual" allowBlank="1" showInputMessage="1" showErrorMessage="1" sqref="P93">
      <formula1>$M93</formula1>
    </dataValidation>
    <dataValidation type="list" allowBlank="1" showInputMessage="1" showErrorMessage="1" sqref="F75:F86 J76 J78 J80 J82 J84 J86 O76:P76 O79:P86 P68 P13:P32">
      <formula1>"0,1"</formula1>
    </dataValidation>
    <dataValidation type="whole" operator="equal" allowBlank="1" showErrorMessage="1" errorTitle="Incorrect Point Value Entered" error="Please re-check the point value for this criterion." sqref="O93:O94">
      <formula1>$M93</formula1>
    </dataValidation>
    <dataValidation type="decimal" operator="lessThanOrEqual" allowBlank="1" showInputMessage="1" showErrorMessage="1" sqref="O105:P105 O151:P151 O132:P132">
      <formula1>$M105</formula1>
    </dataValidation>
    <dataValidation type="list" allowBlank="1" showInputMessage="1" showErrorMessage="1" sqref="L207">
      <formula1>"Site Census Tract, Other Census Tract"</formula1>
    </dataValidation>
    <dataValidation type="list" allowBlank="1" showInputMessage="1" showErrorMessage="1" sqref="E215 J215">
      <formula1>"Above 60th Percentile/Below 80th Percentile, At or Above 80th Percentile, At or Below 60th Percentile"</formula1>
    </dataValidation>
    <dataValidation type="list" allowBlank="1" showInputMessage="1" showErrorMessage="1" sqref="J212:J214 E212:E214">
      <formula1>"Above 60th Percentile, At or Below 60th Percentile"</formula1>
    </dataValidation>
    <dataValidation type="list" allowBlank="1" showInputMessage="1" showErrorMessage="1" sqref="I213:I215">
      <formula1>"2018,2019,2020"</formula1>
    </dataValidation>
    <dataValidation type="whole" operator="equal" allowBlank="1" showInputMessage="1" showErrorMessage="1" sqref="P142 P140">
      <formula1>$M140</formula1>
    </dataValidation>
    <dataValidation type="list" allowBlank="1" showInputMessage="1" showErrorMessage="1" sqref="O417:P417 P423">
      <formula1>"2, 4, 6"</formula1>
    </dataValidation>
    <dataValidation type="list" allowBlank="1" showInputMessage="1" showErrorMessage="1" sqref="O427:P427">
      <formula1>"2, 3, 4"</formula1>
    </dataValidation>
    <dataValidation type="list" allowBlank="1" showInputMessage="1" showErrorMessage="1" sqref="O434:P434">
      <formula1>"4, 6"</formula1>
    </dataValidation>
    <dataValidation type="list" allowBlank="1" showInputMessage="1" showErrorMessage="1" sqref="O435:P435">
      <formula1>"2, 4"</formula1>
    </dataValidation>
    <dataValidation type="list" allowBlank="1" showInputMessage="1" showErrorMessage="1" sqref="O133:P133">
      <formula1>"4, 4.5, 5"</formula1>
    </dataValidation>
    <dataValidation type="list" allowBlank="1" showInputMessage="1" showErrorMessage="1" sqref="O138:P139">
      <formula1>"1,2,3"</formula1>
    </dataValidation>
    <dataValidation type="list" allowBlank="1" showInputMessage="1" showErrorMessage="1" sqref="O290:P292">
      <formula1>"Yes, No, N/a, TBD"</formula1>
    </dataValidation>
    <dataValidation type="list" allowBlank="1" showInputMessage="1" showErrorMessage="1" sqref="I288:L288">
      <formula1>"Select Certification, GDOAS Minority Business Enterprise Certification, GDOT Disadvantaged Business Enterprise, NMSDC, TBD (only if Option A)"</formula1>
    </dataValidation>
    <dataValidation type="list" allowBlank="1" showInputMessage="1" showErrorMessage="1" sqref="M54:P55">
      <formula1>"&lt;&lt; Select Activity Type &gt;&gt;, New Supply, Preservation"</formula1>
    </dataValidation>
    <dataValidation type="list" allowBlank="1" showInputMessage="1" showErrorMessage="1" sqref="M59:P60">
      <formula1>"&lt;&lt; Select Pool &gt;&gt;, Rural, Other Metro, Atlanta Metro"</formula1>
    </dataValidation>
    <dataValidation type="list" allowBlank="1" showInputMessage="1" showErrorMessage="1" sqref="J207:K207">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2" t="s">
        <v>2583</v>
      </c>
      <c r="B1" s="4552"/>
      <c r="C1" s="4552"/>
      <c r="D1" s="4552"/>
      <c r="E1" s="4552"/>
      <c r="F1" s="4552"/>
      <c r="G1" s="4552"/>
      <c r="H1" s="4552"/>
      <c r="I1" s="4552"/>
      <c r="J1" s="4552"/>
    </row>
    <row r="2" spans="1:16" ht="15.75">
      <c r="A2" s="4552" t="str">
        <f>'Sensitivity Analysis'!C8</f>
        <v>Cypress Reserve</v>
      </c>
      <c r="B2" s="4552"/>
      <c r="C2" s="4552"/>
      <c r="D2" s="4552"/>
      <c r="E2" s="4552"/>
      <c r="F2" s="4552"/>
      <c r="G2" s="4552"/>
      <c r="H2" s="4552"/>
      <c r="I2" s="4552"/>
      <c r="J2" s="4552"/>
    </row>
    <row r="3" spans="1:16" ht="15.75">
      <c r="A3" s="4552" t="str">
        <f>'Subsidy Layering Memo'!F14</f>
        <v>Adel, Cook</v>
      </c>
      <c r="B3" s="4552"/>
      <c r="C3" s="4552"/>
      <c r="D3" s="4552"/>
      <c r="E3" s="4552"/>
      <c r="F3" s="4552"/>
      <c r="G3" s="4552"/>
      <c r="H3" s="4552"/>
      <c r="I3" s="4552"/>
      <c r="J3" s="4552"/>
    </row>
    <row r="4" spans="1:16" ht="15.75">
      <c r="A4" s="4553" t="s">
        <v>2584</v>
      </c>
      <c r="B4" s="4552"/>
      <c r="C4" s="4552"/>
      <c r="D4" s="4552"/>
      <c r="E4" s="4552"/>
      <c r="F4" s="4552"/>
      <c r="G4" s="4552"/>
      <c r="H4" s="4552"/>
      <c r="I4" s="4552"/>
      <c r="J4" s="4552"/>
    </row>
    <row r="5" spans="1:16" ht="5.25" customHeight="1"/>
    <row r="6" spans="1:16" ht="5.25" customHeight="1"/>
    <row r="7" spans="1:16" ht="15.75">
      <c r="A7" s="4554" t="s">
        <v>2585</v>
      </c>
      <c r="B7" s="4554"/>
      <c r="C7" s="4555"/>
      <c r="M7" s="4545"/>
      <c r="N7" s="4545"/>
      <c r="O7" s="4545"/>
      <c r="P7" s="4545"/>
    </row>
    <row r="8" spans="1:16" ht="57" customHeight="1">
      <c r="A8" s="4546" t="s">
        <v>6158</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75">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75">
      <c r="A14" s="656" t="s">
        <v>2587</v>
      </c>
      <c r="B14" s="657"/>
    </row>
    <row r="15" spans="1:16">
      <c r="A15" s="654" t="s">
        <v>2588</v>
      </c>
      <c r="D15" s="1588" t="s">
        <v>2589</v>
      </c>
    </row>
    <row r="16" spans="1:16">
      <c r="A16" s="654" t="s">
        <v>2590</v>
      </c>
      <c r="D16" s="1586">
        <f>'Sensitivity Analysis'!C25</f>
        <v>600000</v>
      </c>
    </row>
    <row r="17" spans="1:11">
      <c r="A17" s="658" t="s">
        <v>2591</v>
      </c>
      <c r="D17" s="1587">
        <f>'Sensitivity Analysis'!C13</f>
        <v>50</v>
      </c>
    </row>
    <row r="18" spans="1:11" ht="14.25" customHeight="1"/>
    <row r="19" spans="1:11" ht="15.75">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8708645 via the syndication of the 2021 Federal LIHTC allocation of 1035000 per annum. will make a capital contribution totaling 4124475 via the syndication of the 2021 State LIHTC allocation of 1035000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1.24 (0.85 Federal tax credit and 0.39 State tax credit) for a (X%) ownership interest of the Federal Credits and a (X%) ownership interest of the State Credits. </v>
      </c>
      <c r="B22" s="4551"/>
      <c r="C22" s="4551"/>
      <c r="D22" s="4551"/>
      <c r="E22" s="4551"/>
      <c r="F22" s="4551"/>
      <c r="G22" s="4551"/>
      <c r="H22" s="4551"/>
      <c r="I22" s="4551"/>
      <c r="J22" s="4551"/>
    </row>
    <row r="23" spans="1:11" ht="15.75">
      <c r="A23" s="656" t="s">
        <v>6159</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Cypress Reserve</v>
      </c>
    </row>
    <row r="13" spans="1:10" ht="15">
      <c r="A13" s="664"/>
      <c r="D13" s="663" t="s">
        <v>2606</v>
      </c>
      <c r="F13" s="1585" t="str">
        <f>'Sensitivity Analysis'!E8</f>
        <v>2022-0</v>
      </c>
    </row>
    <row r="14" spans="1:10" ht="15">
      <c r="A14" s="664"/>
      <c r="D14" s="663" t="s">
        <v>2607</v>
      </c>
      <c r="F14" s="1585" t="str">
        <f>'Sensitivity Analysis'!H8</f>
        <v>Adel, Cook</v>
      </c>
    </row>
    <row r="15" spans="1:10" ht="15">
      <c r="A15" s="664"/>
      <c r="D15" s="663" t="s">
        <v>2948</v>
      </c>
      <c r="F15" s="4556">
        <f>'Sensitivity Analysis'!$C$25</f>
        <v>600000</v>
      </c>
      <c r="G15" s="4556"/>
      <c r="H15" s="4556"/>
    </row>
    <row r="16" spans="1:10" ht="15">
      <c r="A16" s="664"/>
      <c r="D16" s="666" t="s">
        <v>2608</v>
      </c>
      <c r="F16" s="667">
        <f>'Sensitivity Analysis'!C13</f>
        <v>50</v>
      </c>
      <c r="G16" s="668" t="s">
        <v>2949</v>
      </c>
      <c r="H16" s="1241">
        <f>'Sensitivity Analysis'!E13</f>
        <v>50</v>
      </c>
    </row>
    <row r="17" spans="1:18" ht="15">
      <c r="A17" s="664"/>
      <c r="D17" s="666" t="s">
        <v>2577</v>
      </c>
      <c r="F17" s="667" t="e">
        <f>'Sensitivity Analysis'!C14</f>
        <v>#REF!</v>
      </c>
    </row>
    <row r="18" spans="1:18" ht="15">
      <c r="A18" s="664"/>
      <c r="D18" s="666" t="s">
        <v>2953</v>
      </c>
      <c r="F18" s="1585" t="str">
        <f>'Sensitivity Analysis'!H15</f>
        <v>Rural</v>
      </c>
    </row>
    <row r="19" spans="1:18" ht="15">
      <c r="A19" s="664"/>
      <c r="D19" s="666" t="s">
        <v>2950</v>
      </c>
      <c r="F19" s="1585" t="str">
        <f>'Sensitivity Analysis'!E16</f>
        <v>No</v>
      </c>
    </row>
    <row r="20" spans="1:18" ht="15">
      <c r="A20" s="664"/>
      <c r="D20" s="666"/>
    </row>
    <row r="21" spans="1:18" ht="15">
      <c r="A21" s="669" t="s">
        <v>6161</v>
      </c>
    </row>
    <row r="22" spans="1:18" ht="111.75" customHeight="1">
      <c r="A22" s="4563" t="s">
        <v>3102</v>
      </c>
      <c r="B22" s="4563"/>
      <c r="C22" s="4563"/>
      <c r="D22" s="4563"/>
      <c r="E22" s="4563"/>
      <c r="F22" s="4563"/>
      <c r="G22" s="4563"/>
      <c r="H22" s="4563"/>
      <c r="I22" s="4563"/>
      <c r="J22" s="4563"/>
      <c r="K22" s="4571" t="s">
        <v>3902</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ht="15">
      <c r="A26" s="669" t="s">
        <v>6160</v>
      </c>
    </row>
    <row r="27" spans="1:18" ht="14.25" customHeight="1">
      <c r="A27" s="4573" t="s">
        <v>6162</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6163</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ht="15">
      <c r="A46" s="669" t="s">
        <v>2609</v>
      </c>
    </row>
    <row r="47" spans="1:10" ht="135" customHeight="1">
      <c r="A47" s="4551" t="s">
        <v>6164</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ht="15">
      <c r="A49" s="669" t="s">
        <v>2610</v>
      </c>
    </row>
    <row r="50" spans="1:12" ht="33" customHeight="1">
      <c r="A50" s="4546" t="s">
        <v>3455</v>
      </c>
      <c r="B50" s="4548"/>
      <c r="C50" s="4548"/>
      <c r="D50" s="4548"/>
      <c r="E50" s="4548"/>
      <c r="F50" s="4548"/>
      <c r="G50" s="4548"/>
      <c r="H50" s="4548"/>
      <c r="I50" s="4548"/>
      <c r="J50" s="4546"/>
    </row>
    <row r="51" spans="1:12" ht="3" customHeight="1"/>
    <row r="52" spans="1:12" ht="72.75" customHeight="1">
      <c r="A52" s="4546" t="s">
        <v>3456</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3457</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3458</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2958</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3459</v>
      </c>
      <c r="B60" s="4561"/>
      <c r="C60" s="4561"/>
      <c r="D60" s="4561"/>
      <c r="E60" s="4561"/>
      <c r="F60" s="4561"/>
      <c r="G60" s="4561"/>
      <c r="H60" s="4561"/>
      <c r="I60" s="4561"/>
      <c r="J60" s="4561"/>
    </row>
    <row r="61" spans="1:12" ht="3" customHeight="1"/>
    <row r="62" spans="1:12" ht="73.5" customHeight="1">
      <c r="A62" s="4546" t="s">
        <v>3460</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ht="15">
      <c r="A64" s="669" t="s">
        <v>2611</v>
      </c>
      <c r="L64" s="670" t="s">
        <v>3094</v>
      </c>
    </row>
    <row r="65" spans="1:17" ht="46.5" customHeight="1">
      <c r="A65" s="4563" t="s">
        <v>2612</v>
      </c>
      <c r="B65" s="4563"/>
      <c r="C65" s="4563"/>
      <c r="D65" s="4563"/>
      <c r="E65" s="4563"/>
      <c r="F65" s="4563"/>
      <c r="G65" s="4563"/>
      <c r="H65" s="4563"/>
      <c r="I65" s="4563"/>
      <c r="J65" s="4563"/>
      <c r="L65" s="671">
        <f>'Closing term sheet'!C135</f>
        <v>643185</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8708645 via the syndication of the 2021 Federal LIHTC allocation of 1035000 per annum. will make a capital contribution totaling 4124475 via the syndication of the 2021 State LIHTC allocation of 1035000 per annum.</v>
      </c>
      <c r="B67" s="4561"/>
      <c r="C67" s="4561"/>
      <c r="D67" s="4561"/>
      <c r="E67" s="4561"/>
      <c r="F67" s="4561"/>
      <c r="G67" s="4561"/>
      <c r="H67" s="4561"/>
      <c r="I67" s="4561"/>
      <c r="J67" s="676"/>
      <c r="L67" s="677">
        <f>'Part II-Sources of Funds'!I51</f>
        <v>8708645</v>
      </c>
      <c r="M67" s="678">
        <f>'Part III-A-Uses of Funds'!$J$191</f>
        <v>1035000</v>
      </c>
      <c r="N67" s="679">
        <f>'Part III-A-Uses of Funds'!N182</f>
        <v>0.85</v>
      </c>
      <c r="O67" s="677">
        <f>'Part II-Sources of Funds'!I52</f>
        <v>4124475</v>
      </c>
      <c r="P67" s="678">
        <f>M67</f>
        <v>1035000</v>
      </c>
      <c r="Q67" s="679">
        <f>'Part III-A-Uses of Funds'!Q182</f>
        <v>0.39</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2613</v>
      </c>
    </row>
    <row r="70" spans="1:17" ht="177" customHeight="1">
      <c r="A70" s="4561" t="s">
        <v>6165</v>
      </c>
      <c r="B70" s="4561"/>
      <c r="C70" s="4561"/>
      <c r="D70" s="4561"/>
      <c r="E70" s="4561"/>
      <c r="F70" s="4561"/>
      <c r="G70" s="4561"/>
      <c r="H70" s="4561"/>
      <c r="I70" s="4561"/>
      <c r="J70" s="4561"/>
      <c r="L70" s="681">
        <f>'Part VI-Pro Forma'!K72</f>
        <v>-780271.44960596901</v>
      </c>
      <c r="M70" s="4565" t="s">
        <v>3101</v>
      </c>
      <c r="N70" s="4566"/>
    </row>
    <row r="71" spans="1:17" ht="6" customHeight="1">
      <c r="A71" s="669"/>
    </row>
    <row r="72" spans="1:17" ht="15">
      <c r="A72" s="669" t="s">
        <v>2614</v>
      </c>
    </row>
    <row r="73" spans="1:17" ht="72.599999999999994"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ht="15">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ht="15">
      <c r="A79" s="669" t="s">
        <v>2619</v>
      </c>
    </row>
    <row r="80" spans="1:17" ht="66" customHeight="1">
      <c r="A80" s="4546" t="s">
        <v>2620</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2621</v>
      </c>
      <c r="B82" s="668"/>
      <c r="C82" s="668"/>
      <c r="D82" s="1585"/>
      <c r="E82" s="668"/>
      <c r="F82" s="668"/>
      <c r="G82" s="668"/>
      <c r="H82" s="668"/>
      <c r="I82" s="668"/>
      <c r="J82" s="682"/>
    </row>
    <row r="83" spans="1:15" s="1581" customFormat="1" ht="63" customHeight="1">
      <c r="A83" s="4546" t="s">
        <v>3662</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2622</v>
      </c>
      <c r="B85" s="4569"/>
      <c r="C85" s="4569"/>
      <c r="D85" s="668"/>
      <c r="E85" s="668"/>
      <c r="F85" s="668"/>
      <c r="G85" s="668"/>
      <c r="H85" s="668"/>
      <c r="I85" s="668"/>
      <c r="J85" s="682"/>
    </row>
    <row r="86" spans="1:15" ht="41.25" customHeight="1">
      <c r="A86" s="4561" t="s">
        <v>6166</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ht="15">
      <c r="A88" s="669" t="s">
        <v>2623</v>
      </c>
    </row>
    <row r="89" spans="1:15" ht="124.15" customHeight="1">
      <c r="A89" s="4561" t="s">
        <v>2624</v>
      </c>
      <c r="B89" s="4561"/>
      <c r="C89" s="4561"/>
      <c r="D89" s="4561"/>
      <c r="E89" s="4561"/>
      <c r="F89" s="4561"/>
      <c r="G89" s="4561"/>
      <c r="H89" s="4561"/>
      <c r="I89" s="4561"/>
      <c r="J89" s="4561"/>
      <c r="L89" s="4571" t="s">
        <v>2625</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ht="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9"/>
      <c r="F96" s="1579"/>
      <c r="G96" s="1579"/>
      <c r="H96" s="1579"/>
      <c r="I96" s="1579"/>
      <c r="J96" s="1579"/>
    </row>
    <row r="97" spans="1:14" ht="109.5" customHeight="1">
      <c r="A97" s="4559" t="s">
        <v>2633</v>
      </c>
      <c r="B97" s="4560"/>
      <c r="C97" s="4560"/>
      <c r="D97" s="4560"/>
      <c r="E97" s="4560"/>
      <c r="F97" s="4560"/>
      <c r="G97" s="4560"/>
      <c r="H97" s="4560"/>
      <c r="I97" s="4560"/>
      <c r="J97" s="4560"/>
    </row>
    <row r="98" spans="1:14" ht="11.25" customHeight="1">
      <c r="A98" s="669"/>
    </row>
    <row r="99" spans="1:14" ht="15">
      <c r="A99" s="669" t="s">
        <v>2634</v>
      </c>
    </row>
    <row r="100" spans="1:14" ht="110.45" customHeight="1">
      <c r="A100" s="4563" t="s">
        <v>2635</v>
      </c>
      <c r="B100" s="4563"/>
      <c r="C100" s="4563"/>
      <c r="D100" s="4563"/>
      <c r="E100" s="4563"/>
      <c r="F100" s="4563"/>
      <c r="G100" s="4563"/>
      <c r="H100" s="4563"/>
      <c r="I100" s="4563"/>
      <c r="J100" s="4563"/>
      <c r="L100" s="1245">
        <f>'Part VI-Pro Forma'!K72</f>
        <v>-780271.44960596901</v>
      </c>
      <c r="M100" s="4567" t="s">
        <v>2636</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2637</v>
      </c>
      <c r="B104" s="4548"/>
      <c r="C104" s="4548"/>
      <c r="D104" s="1579"/>
      <c r="E104" s="1579"/>
      <c r="F104" s="1579"/>
      <c r="G104" s="1579"/>
      <c r="H104" s="1579"/>
      <c r="I104" s="1579"/>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ht="15">
      <c r="A107" s="669" t="s">
        <v>2639</v>
      </c>
    </row>
    <row r="108" spans="1:14" ht="43.5" customHeight="1">
      <c r="A108" s="4546" t="s">
        <v>2640</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57" t="s">
        <v>6068</v>
      </c>
      <c r="B120" s="4557"/>
      <c r="C120" s="4557"/>
      <c r="D120" s="4557"/>
      <c r="E120" s="4558"/>
      <c r="F120" s="1895" t="s">
        <v>6069</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Cypress Reserve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2649</v>
      </c>
      <c r="B8" s="657"/>
      <c r="C8" s="4575" t="str">
        <f>'Part I-Project Identification'!F29</f>
        <v>Cypress Reserve</v>
      </c>
      <c r="D8" s="4575"/>
      <c r="E8" s="1294" t="str">
        <f>'Part I-Project Identification'!O7</f>
        <v>2022-0</v>
      </c>
      <c r="F8" s="693" t="s">
        <v>2650</v>
      </c>
      <c r="G8" s="692"/>
      <c r="H8" s="4575" t="str">
        <f>CONCATENATE('Part I-Project Identification'!F30,", ",'Part I-Project Identification'!J30)</f>
        <v>Adel, Cook</v>
      </c>
      <c r="I8" s="4575"/>
      <c r="J8" s="4575"/>
      <c r="K8" s="4575"/>
      <c r="L8" s="654"/>
      <c r="M8" s="694"/>
    </row>
    <row r="9" spans="1:14" ht="15.75">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5.75">
      <c r="A10" s="657" t="s">
        <v>2655</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5.75">
      <c r="A13" s="657" t="s">
        <v>2659</v>
      </c>
      <c r="B13" s="693"/>
      <c r="C13" s="653">
        <f>'Part V-Revenues &amp; Expenses'!$P$67</f>
        <v>50</v>
      </c>
      <c r="E13" s="1239">
        <f>'Part V-Revenues &amp; Expenses'!$P$63</f>
        <v>50</v>
      </c>
      <c r="F13" s="693" t="s">
        <v>3454</v>
      </c>
      <c r="G13" s="692"/>
      <c r="H13" s="1295" t="e">
        <f>'Part I-Project Identification'!#REF!</f>
        <v>#REF!</v>
      </c>
      <c r="I13" s="1240"/>
      <c r="J13" s="1240"/>
      <c r="K13" s="1295">
        <f>'Part V-Revenues &amp; Expenses'!K175</f>
        <v>51120</v>
      </c>
      <c r="L13" s="654"/>
      <c r="M13" s="654"/>
    </row>
    <row r="14" spans="1:14" ht="15.75">
      <c r="A14" s="657" t="s">
        <v>2951</v>
      </c>
      <c r="B14" s="654"/>
      <c r="C14" s="1295" t="e">
        <f>'Part I-Project Identification'!#REF!</f>
        <v>#REF!</v>
      </c>
      <c r="D14" s="4575" t="e">
        <f>IF('Part V-Revenues &amp; Expenses'!#REF!=0,"",'Part V-Revenues &amp; Expenses'!#REF!)</f>
        <v>#REF!</v>
      </c>
      <c r="E14" s="4575"/>
      <c r="F14" s="693" t="s">
        <v>2660</v>
      </c>
      <c r="G14" s="692"/>
      <c r="H14" s="4580" t="s">
        <v>3103</v>
      </c>
      <c r="I14" s="4580"/>
      <c r="J14" s="4580"/>
      <c r="K14" s="4580" t="s">
        <v>3103</v>
      </c>
      <c r="L14" s="4580"/>
      <c r="M14" s="654"/>
    </row>
    <row r="15" spans="1:14" ht="15.75">
      <c r="A15" s="657" t="s">
        <v>2661</v>
      </c>
      <c r="B15" s="654"/>
      <c r="C15" s="695" t="s">
        <v>1647</v>
      </c>
      <c r="D15" s="692"/>
      <c r="E15" s="692"/>
      <c r="F15" s="693" t="s">
        <v>2952</v>
      </c>
      <c r="G15" s="692"/>
      <c r="H15" s="1294" t="str">
        <f>'Part I-Project Identification'!K32</f>
        <v>Rural</v>
      </c>
      <c r="I15" s="692"/>
      <c r="J15" s="692"/>
      <c r="K15" s="692"/>
      <c r="L15" s="654"/>
      <c r="M15" s="654"/>
    </row>
    <row r="16" spans="1:14" ht="15.75">
      <c r="A16" s="657" t="s">
        <v>3130</v>
      </c>
      <c r="B16" s="654"/>
      <c r="C16" s="1294" t="str">
        <f>'Part VIII Scoring Criteria'!P41</f>
        <v>Yes</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13471860</v>
      </c>
      <c r="D18" s="1276">
        <f>IF(C18=0,"",$C$29/C18)</f>
        <v>4.4537279930165548E-2</v>
      </c>
      <c r="E18" s="692" t="s">
        <v>2955</v>
      </c>
      <c r="F18" s="693" t="s">
        <v>2956</v>
      </c>
      <c r="G18" s="692"/>
      <c r="H18" s="4574">
        <f>'Part III-A-Uses of Funds'!C49</f>
        <v>9679740</v>
      </c>
      <c r="I18" s="4574"/>
      <c r="J18" s="1275">
        <f>IF(H18=0,"",$C$29/H18)</f>
        <v>6.1985135964395741E-2</v>
      </c>
      <c r="K18" s="4575" t="s">
        <v>2957</v>
      </c>
      <c r="L18" s="4575"/>
      <c r="M18" s="654"/>
    </row>
    <row r="19" spans="1:13" ht="15.75">
      <c r="A19" s="657" t="s">
        <v>2662</v>
      </c>
      <c r="B19" s="654"/>
      <c r="C19" s="1296">
        <f>C18/C13</f>
        <v>269437.2</v>
      </c>
      <c r="D19" s="692"/>
      <c r="E19" s="654"/>
      <c r="F19" s="657" t="s">
        <v>2662</v>
      </c>
      <c r="G19" s="654"/>
      <c r="H19" s="4576">
        <f>H18/C13</f>
        <v>193594.8</v>
      </c>
      <c r="I19" s="4576"/>
      <c r="J19" s="654"/>
      <c r="K19" s="654"/>
      <c r="L19" s="654"/>
      <c r="M19" s="654"/>
    </row>
    <row r="20" spans="1:13" ht="15.75">
      <c r="A20" s="657" t="s">
        <v>2663</v>
      </c>
      <c r="B20" s="654"/>
      <c r="C20" s="1298">
        <f>C18/K13</f>
        <v>263.53403755868544</v>
      </c>
      <c r="D20" s="697"/>
      <c r="E20" s="698"/>
      <c r="F20" s="657" t="s">
        <v>2663</v>
      </c>
      <c r="G20" s="654"/>
      <c r="H20" s="4577">
        <f>H18/K13</f>
        <v>189.35328638497651</v>
      </c>
      <c r="I20" s="4576"/>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Central Bank of Kansas City (CDFI CMF)</v>
      </c>
      <c r="C25" s="704">
        <f>'Part II-Sources of Funds'!I40</f>
        <v>600000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600000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12833120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600000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4.4537279930165548E-2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6.1985135964395741E-2</v>
      </c>
      <c r="D40" s="654"/>
      <c r="E40" s="654"/>
      <c r="F40" s="657"/>
      <c r="G40" s="657" t="s">
        <v>2683</v>
      </c>
      <c r="H40" s="654"/>
      <c r="I40" s="654"/>
      <c r="K40" s="706">
        <f>C30/C18</f>
        <v>0.9525870963623434</v>
      </c>
      <c r="L40" s="654"/>
      <c r="M40" s="654"/>
    </row>
    <row r="46" spans="1:13" ht="15.75">
      <c r="A46" s="717" t="s">
        <v>2684</v>
      </c>
      <c r="B46" s="687"/>
      <c r="C46" s="687"/>
      <c r="D46" s="687"/>
      <c r="E46" s="687"/>
      <c r="F46" s="687"/>
      <c r="G46" s="687"/>
      <c r="H46" s="687"/>
      <c r="I46" s="687"/>
      <c r="J46" s="687"/>
      <c r="K46" s="687"/>
      <c r="L46" s="687"/>
      <c r="M46" s="654"/>
    </row>
    <row r="47" spans="1:13" ht="15.75">
      <c r="A47" s="717" t="str">
        <f>C8</f>
        <v>Cypress Reserve</v>
      </c>
      <c r="B47" s="687"/>
      <c r="C47" s="687"/>
      <c r="D47" s="687"/>
      <c r="E47" s="687"/>
      <c r="F47" s="687"/>
      <c r="G47" s="687"/>
      <c r="H47" s="687"/>
      <c r="I47" s="687"/>
      <c r="J47" s="687"/>
      <c r="K47" s="687"/>
      <c r="L47" s="687"/>
      <c r="M47" s="654"/>
    </row>
    <row r="50" spans="1:14" s="654" customFormat="1" ht="15.75">
      <c r="A50" s="657" t="s">
        <v>2685</v>
      </c>
      <c r="C50" s="718" t="s">
        <v>2686</v>
      </c>
      <c r="E50" s="719" t="s">
        <v>3104</v>
      </c>
      <c r="F50" s="720">
        <v>0.1</v>
      </c>
      <c r="G50" s="719" t="s">
        <v>3105</v>
      </c>
      <c r="H50" s="720">
        <v>0.05</v>
      </c>
      <c r="I50" s="719" t="s">
        <v>3106</v>
      </c>
      <c r="J50" s="720">
        <v>0.03</v>
      </c>
      <c r="K50" s="4578" t="s">
        <v>2687</v>
      </c>
      <c r="L50" s="4579"/>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350220</v>
      </c>
      <c r="D52" s="723"/>
      <c r="E52" s="723">
        <f>$C$52</f>
        <v>350220</v>
      </c>
      <c r="F52" s="723"/>
      <c r="G52" s="723">
        <f>$C$52</f>
        <v>350220</v>
      </c>
      <c r="H52" s="723"/>
      <c r="I52" s="723">
        <f>$C$52</f>
        <v>350220</v>
      </c>
      <c r="J52" s="723"/>
      <c r="K52" s="723">
        <f>$C$52</f>
        <v>350220</v>
      </c>
      <c r="L52" s="724"/>
      <c r="M52" s="27"/>
      <c r="N52" s="27"/>
    </row>
    <row r="53" spans="1:14" s="654" customFormat="1" ht="18.75" customHeight="1">
      <c r="B53" s="722" t="s">
        <v>2691</v>
      </c>
      <c r="C53" s="723">
        <f>'Part VI-Pro Forma'!B16</f>
        <v>7004.4000000000005</v>
      </c>
      <c r="D53" s="723"/>
      <c r="E53" s="723">
        <f>$C$53</f>
        <v>7004.4000000000005</v>
      </c>
      <c r="F53" s="723"/>
      <c r="G53" s="723">
        <f>$C$53</f>
        <v>7004.4000000000005</v>
      </c>
      <c r="H53" s="723"/>
      <c r="I53" s="723">
        <f>$C$53</f>
        <v>7004.4000000000005</v>
      </c>
      <c r="J53" s="723"/>
      <c r="K53" s="723">
        <f>$C$53</f>
        <v>7004.4000000000005</v>
      </c>
      <c r="L53" s="724"/>
      <c r="M53" s="27"/>
      <c r="N53" s="27"/>
    </row>
    <row r="54" spans="1:14" s="654" customFormat="1" ht="18.75" customHeight="1">
      <c r="B54" s="722" t="s">
        <v>2689</v>
      </c>
      <c r="C54" s="723">
        <f>'Part VI-Pro Forma'!B17</f>
        <v>-25005.708000000002</v>
      </c>
      <c r="D54" s="723"/>
      <c r="E54" s="723">
        <f>-($C$52+E53)*F50</f>
        <v>-35722.44</v>
      </c>
      <c r="F54" s="725"/>
      <c r="G54" s="723">
        <f>-($C$52+G53)*0.07</f>
        <v>-25005.708000000002</v>
      </c>
      <c r="H54" s="723"/>
      <c r="I54" s="723">
        <f>-($C$52+I53)*0.07</f>
        <v>-25005.708000000002</v>
      </c>
      <c r="J54" s="723"/>
      <c r="K54" s="723">
        <f>-($C$52+K53)*L54</f>
        <v>-35722.44</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332218.69200000004</v>
      </c>
      <c r="D56" s="723"/>
      <c r="E56" s="729">
        <f>SUM(E52:E55)</f>
        <v>321501.96000000002</v>
      </c>
      <c r="F56" s="723"/>
      <c r="G56" s="729">
        <f>SUM(G52:G55)</f>
        <v>332218.69200000004</v>
      </c>
      <c r="H56" s="723"/>
      <c r="I56" s="729">
        <f>SUM(I52:I55)</f>
        <v>332218.69200000004</v>
      </c>
      <c r="J56" s="723"/>
      <c r="K56" s="729">
        <f>SUM(K52:K55)</f>
        <v>321501.96000000002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99550</v>
      </c>
      <c r="D58" s="723"/>
      <c r="E58" s="723">
        <f>$C$58</f>
        <v>99550</v>
      </c>
      <c r="F58" s="723"/>
      <c r="G58" s="723">
        <f>$C$58</f>
        <v>99550</v>
      </c>
      <c r="H58" s="723"/>
      <c r="I58" s="723">
        <f>$C$58</f>
        <v>99550</v>
      </c>
      <c r="J58" s="723"/>
      <c r="K58" s="723">
        <f>$C$58</f>
        <v>99550</v>
      </c>
      <c r="L58" s="724"/>
      <c r="M58" s="27"/>
      <c r="N58" s="27"/>
    </row>
    <row r="59" spans="1:14" s="654" customFormat="1" ht="18.75" customHeight="1">
      <c r="B59" s="722" t="s">
        <v>2694</v>
      </c>
      <c r="C59" s="723">
        <f>+'Part V-Revenues &amp; Expenses'!F247</f>
        <v>36700</v>
      </c>
      <c r="D59" s="723"/>
      <c r="E59" s="723">
        <f>$C$59</f>
        <v>36700</v>
      </c>
      <c r="F59" s="723"/>
      <c r="G59" s="723">
        <f>$C$59</f>
        <v>36700</v>
      </c>
      <c r="H59" s="723"/>
      <c r="I59" s="723">
        <f>$C$59</f>
        <v>36700</v>
      </c>
      <c r="J59" s="723"/>
      <c r="K59" s="723">
        <f>$C$59*(1+$L$59)</f>
        <v>38168</v>
      </c>
      <c r="L59" s="731">
        <v>0.04</v>
      </c>
      <c r="M59" s="27"/>
      <c r="N59" s="27"/>
    </row>
    <row r="60" spans="1:14" s="654" customFormat="1" ht="18.75" customHeight="1">
      <c r="B60" s="722" t="s">
        <v>1298</v>
      </c>
      <c r="C60" s="723">
        <f>+'Part V-Revenues &amp; Expenses'!L241</f>
        <v>17500</v>
      </c>
      <c r="D60" s="723"/>
      <c r="E60" s="723">
        <f>$C$60</f>
        <v>17500</v>
      </c>
      <c r="F60" s="723"/>
      <c r="G60" s="723">
        <f>$C$60</f>
        <v>17500</v>
      </c>
      <c r="H60" s="723"/>
      <c r="I60" s="723">
        <f>$C$60*(1+$J$50)</f>
        <v>18025</v>
      </c>
      <c r="J60" s="725"/>
      <c r="K60" s="723">
        <f>$C$60*(1+$J$50)</f>
        <v>18025</v>
      </c>
      <c r="L60" s="726">
        <v>0.03</v>
      </c>
      <c r="M60" s="27"/>
      <c r="N60" s="27"/>
    </row>
    <row r="61" spans="1:14" s="654" customFormat="1" ht="18.75" customHeight="1">
      <c r="B61" s="722" t="s">
        <v>1299</v>
      </c>
      <c r="C61" s="723">
        <f>+'Part V-Revenues &amp; Expenses'!L247</f>
        <v>46761</v>
      </c>
      <c r="D61" s="723"/>
      <c r="E61" s="723">
        <f>$C$61</f>
        <v>46761</v>
      </c>
      <c r="F61" s="723"/>
      <c r="G61" s="723">
        <f>$C$61*(1+H50)</f>
        <v>49099.05</v>
      </c>
      <c r="H61" s="725"/>
      <c r="I61" s="723">
        <f>$C$61</f>
        <v>46761</v>
      </c>
      <c r="J61" s="723"/>
      <c r="K61" s="723">
        <f>$C$61*(1+$L$61)</f>
        <v>49099.05</v>
      </c>
      <c r="L61" s="726">
        <v>0.05</v>
      </c>
      <c r="M61" s="27"/>
      <c r="N61" s="27"/>
    </row>
    <row r="62" spans="1:14" s="654" customFormat="1" ht="18.75" customHeight="1">
      <c r="B62" s="728" t="s">
        <v>2695</v>
      </c>
      <c r="C62" s="729">
        <f>SUM(C58:C61)</f>
        <v>200511</v>
      </c>
      <c r="D62" s="723"/>
      <c r="E62" s="729">
        <f>SUM(E58:E61)</f>
        <v>200511</v>
      </c>
      <c r="F62" s="723"/>
      <c r="G62" s="729">
        <f>SUM(G58:G61)</f>
        <v>202849.05</v>
      </c>
      <c r="H62" s="723"/>
      <c r="I62" s="729">
        <f>SUM(I58:I61)</f>
        <v>201036</v>
      </c>
      <c r="J62" s="723"/>
      <c r="K62" s="729">
        <f>SUM(K58:K61)</f>
        <v>204842.05</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131707.69200000004</v>
      </c>
      <c r="D64" s="735"/>
      <c r="E64" s="735">
        <f>E56-E62</f>
        <v>120990.96000000002</v>
      </c>
      <c r="F64" s="735"/>
      <c r="G64" s="735">
        <f>G56-G62</f>
        <v>129369.64200000005</v>
      </c>
      <c r="H64" s="735"/>
      <c r="I64" s="735">
        <f>I56-I62</f>
        <v>131182.69200000004</v>
      </c>
      <c r="J64" s="735"/>
      <c r="K64" s="735">
        <f>K56-K62</f>
        <v>116659.91000000003</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12500</v>
      </c>
      <c r="D66" s="730"/>
      <c r="E66" s="730">
        <f>$C$66</f>
        <v>12500</v>
      </c>
      <c r="F66" s="730"/>
      <c r="G66" s="730">
        <f>$C$66</f>
        <v>12500</v>
      </c>
      <c r="H66" s="730"/>
      <c r="I66" s="730">
        <f>$C$66</f>
        <v>12500</v>
      </c>
      <c r="J66" s="730"/>
      <c r="K66" s="730">
        <f>$C$66</f>
        <v>12500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24000</v>
      </c>
      <c r="D68" s="730"/>
      <c r="E68" s="730">
        <f>$C$68</f>
        <v>24000</v>
      </c>
      <c r="F68" s="730"/>
      <c r="G68" s="730">
        <f>$C$68</f>
        <v>24000</v>
      </c>
      <c r="H68" s="730"/>
      <c r="I68" s="730">
        <f>$C$68</f>
        <v>24000</v>
      </c>
      <c r="J68" s="730"/>
      <c r="K68" s="730">
        <f>$C$68</f>
        <v>24000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95207.692000000039</v>
      </c>
      <c r="D70" s="739"/>
      <c r="E70" s="738">
        <f>E64-E66-E68</f>
        <v>84490.960000000021</v>
      </c>
      <c r="F70" s="739"/>
      <c r="G70" s="738">
        <f>G64-G66-G68</f>
        <v>92869.642000000051</v>
      </c>
      <c r="H70" s="739"/>
      <c r="I70" s="738">
        <f>I64-I66-I68</f>
        <v>94682.692000000039</v>
      </c>
      <c r="J70" s="739"/>
      <c r="K70" s="738">
        <f>K64-K66-K68</f>
        <v>80159.910000000033</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1.3939470372673353</v>
      </c>
      <c r="D72" s="741"/>
      <c r="E72" s="1277">
        <f>-E70/E75</f>
        <v>1.2370421012608195</v>
      </c>
      <c r="F72" s="741"/>
      <c r="G72" s="1277">
        <f>-G70/G75</f>
        <v>1.3597153717157444</v>
      </c>
      <c r="H72" s="741"/>
      <c r="I72" s="1277">
        <f>-I70/I75</f>
        <v>1.3862604504045286</v>
      </c>
      <c r="J72" s="741"/>
      <c r="K72" s="1277">
        <f>-K70/K75</f>
        <v>1.1736306878662308</v>
      </c>
      <c r="L72" s="742"/>
      <c r="M72" s="265"/>
      <c r="N72" s="265"/>
    </row>
    <row r="73" spans="1:14" s="654" customFormat="1" ht="18.75" customHeight="1">
      <c r="A73" s="27"/>
      <c r="B73" s="722" t="s">
        <v>2701</v>
      </c>
      <c r="C73" s="1278">
        <f>C76/C62</f>
        <v>0.13419162122273043</v>
      </c>
      <c r="D73" s="743"/>
      <c r="E73" s="1278">
        <f>E76/E62</f>
        <v>8.0744518570008056E-2</v>
      </c>
      <c r="F73" s="743"/>
      <c r="G73" s="1278">
        <f>G76/G62</f>
        <v>0.12111886234118877</v>
      </c>
      <c r="H73" s="743"/>
      <c r="I73" s="1278">
        <f>I76/I62</f>
        <v>0.13122971091242813</v>
      </c>
      <c r="J73" s="743"/>
      <c r="K73" s="1278">
        <f>K76/K62</f>
        <v>5.7893943958239519E-2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-68300.795837009136</v>
      </c>
      <c r="D75" s="723"/>
      <c r="E75" s="723">
        <f>$C$75</f>
        <v>-68300.795837009136</v>
      </c>
      <c r="F75" s="723"/>
      <c r="G75" s="723">
        <f>$C$75</f>
        <v>-68300.795837009136</v>
      </c>
      <c r="H75" s="723"/>
      <c r="I75" s="723">
        <f>$C$75</f>
        <v>-68300.795837009136</v>
      </c>
      <c r="J75" s="723"/>
      <c r="K75" s="723">
        <f>$C$75</f>
        <v>-68300.795837009136</v>
      </c>
      <c r="L75" s="33"/>
      <c r="M75" s="27"/>
      <c r="N75" s="27"/>
    </row>
    <row r="76" spans="1:14" s="654" customFormat="1" ht="18.75" customHeight="1">
      <c r="A76" s="27"/>
      <c r="B76" s="722" t="s">
        <v>1097</v>
      </c>
      <c r="C76" s="723">
        <f>C70+C75</f>
        <v>26906.896162990903</v>
      </c>
      <c r="D76" s="723"/>
      <c r="E76" s="723">
        <f>E70+E75</f>
        <v>16190.164162990885</v>
      </c>
      <c r="F76" s="723"/>
      <c r="G76" s="723">
        <f>G70+G75</f>
        <v>24568.846162990914</v>
      </c>
      <c r="H76" s="723"/>
      <c r="I76" s="723">
        <f>I70+I75</f>
        <v>26381.896162990903</v>
      </c>
      <c r="J76" s="723"/>
      <c r="K76" s="723">
        <f>K70+K75</f>
        <v>11859.114162990896</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13471860</v>
      </c>
    </row>
    <row r="5" spans="1:7">
      <c r="A5" s="1221" t="s">
        <v>3450</v>
      </c>
      <c r="B5" s="1222">
        <f>+B18+B26+B38</f>
        <v>636087.98408012104</v>
      </c>
    </row>
    <row r="6" spans="1:7">
      <c r="A6" s="1221" t="s">
        <v>3420</v>
      </c>
      <c r="B6" s="1223">
        <f>+B5-B4</f>
        <v>-12835772.015919879</v>
      </c>
    </row>
    <row r="7" spans="1:7">
      <c r="A7" s="1221" t="s">
        <v>3421</v>
      </c>
      <c r="B7" s="1224">
        <f>+B6/B4</f>
        <v>-0.95278395232134827</v>
      </c>
    </row>
    <row r="8" spans="1:7" ht="9" customHeight="1"/>
    <row r="9" spans="1:7">
      <c r="A9" s="1221" t="s">
        <v>3422</v>
      </c>
      <c r="B9" s="1222">
        <f>+B18+B26+B33</f>
        <v>635977.98408012104</v>
      </c>
    </row>
    <row r="10" spans="1:7">
      <c r="A10" s="1221" t="s">
        <v>3420</v>
      </c>
      <c r="B10" s="1223">
        <f>+B9-B4</f>
        <v>-12835882.015919879</v>
      </c>
    </row>
    <row r="11" spans="1:7">
      <c r="A11" s="1221" t="s">
        <v>3421</v>
      </c>
      <c r="B11" s="1224">
        <f>+B10/B4</f>
        <v>-0.95279211748933546</v>
      </c>
    </row>
    <row r="12" spans="1:7" ht="24" customHeight="1"/>
    <row r="13" spans="1:7">
      <c r="A13" s="1220" t="s">
        <v>3423</v>
      </c>
      <c r="D13" s="1283" t="s">
        <v>3667</v>
      </c>
      <c r="E13" s="1284"/>
    </row>
    <row r="14" spans="1:7">
      <c r="A14" s="1221" t="s">
        <v>3424</v>
      </c>
      <c r="B14" s="1225">
        <f>+SUM('Part II-Sources of Funds'!L51:M52)</f>
        <v>12834000</v>
      </c>
      <c r="D14" s="1284"/>
      <c r="E14" s="1284"/>
    </row>
    <row r="15" spans="1:7">
      <c r="A15" s="1221" t="s">
        <v>3425</v>
      </c>
      <c r="B15" s="1226">
        <f>+'Part III-A-Uses of Funds'!J180</f>
        <v>1287175</v>
      </c>
      <c r="D15" s="1284" t="s">
        <v>1896</v>
      </c>
      <c r="G15" s="1285">
        <f>'Part III-A-Uses of Funds'!J168</f>
        <v>12435611</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5914376.5916000009</v>
      </c>
    </row>
    <row r="20" spans="1:7">
      <c r="A20" s="1221" t="s">
        <v>3428</v>
      </c>
      <c r="B20" s="1225">
        <f>+B18-B14</f>
        <v>-12834000</v>
      </c>
      <c r="D20" s="1284" t="s">
        <v>3672</v>
      </c>
      <c r="G20" s="1287">
        <f>+B14-G19</f>
        <v>6919623.4083999991</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600000</v>
      </c>
    </row>
    <row r="25" spans="1:7">
      <c r="A25" s="1221" t="s">
        <v>3432</v>
      </c>
      <c r="B25" s="1229">
        <f>IF('Part II-Sources of Funds'!E6="Yes","N/A",MAX(B46:P46))</f>
        <v>-4854.2452513018216</v>
      </c>
    </row>
    <row r="26" spans="1:7">
      <c r="A26" s="1221" t="s">
        <v>3433</v>
      </c>
      <c r="B26" s="1219">
        <f>IFERROR(PV('Part II-Sources of Funds'!K40,'Part II-Sources of Funds'!L40,B25+B45),B24)</f>
        <v>635977.98408012104</v>
      </c>
    </row>
    <row r="27" spans="1:7" ht="9" customHeight="1">
      <c r="B27" s="1219"/>
    </row>
    <row r="28" spans="1:7">
      <c r="A28" s="1221" t="s">
        <v>3434</v>
      </c>
      <c r="B28" s="1230">
        <f>+B26-B24</f>
        <v>35977.984080121038</v>
      </c>
      <c r="C28" s="1231"/>
    </row>
    <row r="29" spans="1:7">
      <c r="A29" s="1221" t="s">
        <v>3429</v>
      </c>
      <c r="B29" s="1232">
        <f>+B28/B24</f>
        <v>5.9963306800201732E-2</v>
      </c>
    </row>
    <row r="30" spans="1:7" ht="24" customHeight="1"/>
    <row r="31" spans="1:7">
      <c r="A31" s="1220" t="s">
        <v>3364</v>
      </c>
    </row>
    <row r="32" spans="1:7">
      <c r="A32" s="1221" t="s">
        <v>3435</v>
      </c>
      <c r="B32" s="1233">
        <f>+'Part II-Sources of Funds'!I45</f>
        <v>38630</v>
      </c>
    </row>
    <row r="33" spans="1:11">
      <c r="A33" s="1221" t="s">
        <v>3436</v>
      </c>
      <c r="B33" s="1219"/>
    </row>
    <row r="34" spans="1:11" ht="9" customHeight="1">
      <c r="B34" s="1219"/>
    </row>
    <row r="35" spans="1:11">
      <c r="A35" s="1221" t="s">
        <v>3437</v>
      </c>
      <c r="B35" s="1233">
        <f>+B33-B32</f>
        <v>-38630</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110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95207.692000000039</v>
      </c>
      <c r="C44" s="1222">
        <f>+'Part VI-Pro Forma'!C25</f>
        <v>94741.735840000038</v>
      </c>
      <c r="D44" s="1222">
        <f>+'Part VI-Pro Forma'!D25</f>
        <v>94194.957256799971</v>
      </c>
      <c r="E44" s="1222">
        <f>+'Part VI-Pro Forma'!E25</f>
        <v>93565.262702935986</v>
      </c>
      <c r="F44" s="1222">
        <f>+'Part VI-Pro Forma'!F25</f>
        <v>92846.439247024682</v>
      </c>
      <c r="G44" s="1222">
        <f>+'Part VI-Pro Forma'!G25</f>
        <v>92035.150460696183</v>
      </c>
      <c r="H44" s="1222">
        <f>+'Part VI-Pro Forma'!H25</f>
        <v>91128.932171502878</v>
      </c>
      <c r="I44" s="1222">
        <f>+'Part VI-Pro Forma'!I25</f>
        <v>90121.18807757349</v>
      </c>
      <c r="J44" s="1222">
        <f>+'Part VI-Pro Forma'!J25</f>
        <v>89009.185219644831</v>
      </c>
      <c r="K44" s="1222">
        <f>+'Part VI-Pro Forma'!K25</f>
        <v>87786.049305973138</v>
      </c>
    </row>
    <row r="45" spans="1:11">
      <c r="A45" s="1221" t="s">
        <v>3441</v>
      </c>
      <c r="B45" s="1222">
        <f>SUM('Part VI-Pro Forma'!B26:B29)</f>
        <v>-68300.795837009136</v>
      </c>
      <c r="C45" s="1222">
        <f>SUM('Part VI-Pro Forma'!C26:C29)</f>
        <v>-68300.795837009136</v>
      </c>
      <c r="D45" s="1222">
        <f>SUM('Part VI-Pro Forma'!D26:D29)</f>
        <v>-68300.795837009136</v>
      </c>
      <c r="E45" s="1222">
        <f>SUM('Part VI-Pro Forma'!E26:E29)</f>
        <v>-68300.795837009136</v>
      </c>
      <c r="F45" s="1222">
        <f>SUM('Part VI-Pro Forma'!F26:F29)</f>
        <v>-68300.795837009136</v>
      </c>
      <c r="G45" s="1222">
        <f>SUM('Part VI-Pro Forma'!G26:G29)</f>
        <v>-68300.795837009136</v>
      </c>
      <c r="H45" s="1222">
        <f>SUM('Part VI-Pro Forma'!H26:H29)</f>
        <v>-68300.795837009136</v>
      </c>
      <c r="I45" s="1222">
        <f>SUM('Part VI-Pro Forma'!I26:I29)</f>
        <v>-68300.795837009136</v>
      </c>
      <c r="J45" s="1222">
        <f>SUM('Part VI-Pro Forma'!J26:J29)</f>
        <v>-68300.795837009136</v>
      </c>
      <c r="K45" s="1222">
        <f>SUM('Part VI-Pro Forma'!K26:K29)</f>
        <v>-68300.795837009136</v>
      </c>
    </row>
    <row r="46" spans="1:11">
      <c r="A46" s="1221" t="s">
        <v>3442</v>
      </c>
      <c r="B46" s="1223">
        <f t="shared" ref="B46:K46" si="0">-B44/B48-B45</f>
        <v>-11038.947496324239</v>
      </c>
      <c r="C46" s="1223">
        <f t="shared" si="0"/>
        <v>-10650.650696324228</v>
      </c>
      <c r="D46" s="1223">
        <f t="shared" si="0"/>
        <v>-10195.001876990849</v>
      </c>
      <c r="E46" s="1223">
        <f t="shared" si="0"/>
        <v>-9670.2564154375286</v>
      </c>
      <c r="F46" s="1223">
        <f t="shared" si="0"/>
        <v>-9071.236868844775</v>
      </c>
      <c r="G46" s="1223">
        <f t="shared" si="0"/>
        <v>-8395.1628802376799</v>
      </c>
      <c r="H46" s="1223">
        <f t="shared" si="0"/>
        <v>-7639.9809725765954</v>
      </c>
      <c r="I46" s="1223">
        <f t="shared" si="0"/>
        <v>-6800.1942276354384</v>
      </c>
      <c r="J46" s="1223">
        <f t="shared" si="0"/>
        <v>-5873.5251793615607</v>
      </c>
      <c r="K46" s="1223">
        <f t="shared" si="0"/>
        <v>-4854.2452513018216</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95207.692000000039</v>
      </c>
      <c r="C51" s="1223">
        <f t="shared" ref="C51:K51" si="2">+C44</f>
        <v>94741.735840000038</v>
      </c>
      <c r="D51" s="1223">
        <f t="shared" si="2"/>
        <v>94194.957256799971</v>
      </c>
      <c r="E51" s="1223">
        <f t="shared" si="2"/>
        <v>93565.262702935986</v>
      </c>
      <c r="F51" s="1223">
        <f t="shared" si="2"/>
        <v>92846.439247024682</v>
      </c>
      <c r="G51" s="1223">
        <f t="shared" si="2"/>
        <v>92035.150460696183</v>
      </c>
      <c r="H51" s="1223">
        <f t="shared" si="2"/>
        <v>91128.932171502878</v>
      </c>
      <c r="I51" s="1223">
        <f t="shared" si="2"/>
        <v>90121.18807757349</v>
      </c>
      <c r="J51" s="1223">
        <f t="shared" si="2"/>
        <v>89009.185219644831</v>
      </c>
      <c r="K51" s="1223">
        <f t="shared" si="2"/>
        <v>87786.049305973138</v>
      </c>
    </row>
    <row r="52" spans="1:17">
      <c r="A52" s="1221" t="s">
        <v>3444</v>
      </c>
      <c r="B52" s="1223">
        <f>IF($B$25="N/A",B45,B45+$B$25)</f>
        <v>-73155.041088310958</v>
      </c>
      <c r="C52" s="1223">
        <f t="shared" ref="C52:K52" si="3">IF($B$25="N/A",C45,C45+$B$25)</f>
        <v>-73155.041088310958</v>
      </c>
      <c r="D52" s="1223">
        <f t="shared" si="3"/>
        <v>-73155.041088310958</v>
      </c>
      <c r="E52" s="1223">
        <f t="shared" si="3"/>
        <v>-73155.041088310958</v>
      </c>
      <c r="F52" s="1223">
        <f t="shared" si="3"/>
        <v>-73155.041088310958</v>
      </c>
      <c r="G52" s="1223">
        <f t="shared" si="3"/>
        <v>-73155.041088310958</v>
      </c>
      <c r="H52" s="1223">
        <f t="shared" si="3"/>
        <v>-73155.041088310958</v>
      </c>
      <c r="I52" s="1223">
        <f t="shared" si="3"/>
        <v>-73155.041088310958</v>
      </c>
      <c r="J52" s="1223">
        <f t="shared" si="3"/>
        <v>-73155.041088310958</v>
      </c>
      <c r="K52" s="1223">
        <f t="shared" si="3"/>
        <v>-73155.041088310958</v>
      </c>
    </row>
    <row r="53" spans="1:17">
      <c r="A53" s="1221" t="s">
        <v>3445</v>
      </c>
      <c r="B53" s="1222">
        <f>+'Part VI-Pro Forma'!B31</f>
        <v>-7500</v>
      </c>
      <c r="C53" s="1222">
        <f>+'Part VI-Pro Forma'!C31</f>
        <v>-7500</v>
      </c>
      <c r="D53" s="1222">
        <f>+'Part VI-Pro Forma'!D31</f>
        <v>-7500</v>
      </c>
      <c r="E53" s="1222">
        <f>+'Part VI-Pro Forma'!E31</f>
        <v>-7500</v>
      </c>
      <c r="F53" s="1222">
        <f>+'Part VI-Pro Forma'!F31</f>
        <v>-7500</v>
      </c>
      <c r="G53" s="1222">
        <f>+'Part VI-Pro Forma'!G31</f>
        <v>-7500</v>
      </c>
      <c r="H53" s="1222">
        <f>+'Part VI-Pro Forma'!H31</f>
        <v>-7500</v>
      </c>
      <c r="I53" s="1222">
        <f>+'Part VI-Pro Forma'!I31</f>
        <v>-7500</v>
      </c>
      <c r="J53" s="1222">
        <f>+'Part VI-Pro Forma'!J31</f>
        <v>-7500</v>
      </c>
      <c r="K53" s="1222">
        <f>+'Part VI-Pro Forma'!K31</f>
        <v>-7500</v>
      </c>
    </row>
    <row r="54" spans="1:17">
      <c r="A54" s="1221" t="s">
        <v>3446</v>
      </c>
      <c r="B54" s="1223">
        <f>+SUM(B51:B53)</f>
        <v>14552.650911689081</v>
      </c>
      <c r="C54" s="1223">
        <f t="shared" ref="C54:K54" si="4">+SUM(C51:C53)</f>
        <v>14086.69475168908</v>
      </c>
      <c r="D54" s="1223">
        <f t="shared" si="4"/>
        <v>13539.916168489013</v>
      </c>
      <c r="E54" s="1223">
        <f t="shared" si="4"/>
        <v>12910.221614625028</v>
      </c>
      <c r="F54" s="1223">
        <f t="shared" si="4"/>
        <v>12191.398158713724</v>
      </c>
      <c r="G54" s="1223">
        <f t="shared" si="4"/>
        <v>11380.109372385225</v>
      </c>
      <c r="H54" s="1223">
        <f t="shared" si="4"/>
        <v>10473.89108319192</v>
      </c>
      <c r="I54" s="1223">
        <f t="shared" si="4"/>
        <v>9466.1469892625319</v>
      </c>
      <c r="J54" s="1223">
        <f t="shared" si="4"/>
        <v>8354.1441313338728</v>
      </c>
      <c r="K54" s="1223">
        <f t="shared" si="4"/>
        <v>7131.00821766218</v>
      </c>
    </row>
    <row r="55" spans="1:17">
      <c r="A55" s="1221" t="s">
        <v>3364</v>
      </c>
      <c r="B55" s="1223">
        <f>-B54</f>
        <v>-14552.650911689081</v>
      </c>
      <c r="C55" s="1223">
        <f t="shared" ref="C55:K55" si="5">-C54</f>
        <v>-14086.69475168908</v>
      </c>
      <c r="D55" s="1223">
        <f t="shared" si="5"/>
        <v>-13539.916168489013</v>
      </c>
      <c r="E55" s="1223">
        <f t="shared" si="5"/>
        <v>-12910.221614625028</v>
      </c>
      <c r="F55" s="1223">
        <f t="shared" si="5"/>
        <v>-12191.398158713724</v>
      </c>
      <c r="G55" s="1223">
        <f t="shared" si="5"/>
        <v>-11380.109372385225</v>
      </c>
      <c r="H55" s="1223">
        <f t="shared" si="5"/>
        <v>-10473.89108319192</v>
      </c>
      <c r="I55" s="1223">
        <f t="shared" si="5"/>
        <v>-9466.1469892625319</v>
      </c>
      <c r="J55" s="1223">
        <f t="shared" si="5"/>
        <v>-8354.1441313338728</v>
      </c>
      <c r="K55" s="1223">
        <f t="shared" si="5"/>
        <v>-7131.00821766218</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578863.96772351093</v>
      </c>
      <c r="C58" s="1222">
        <f>IF($B$26="","",-FV('Part II-Sources of Funds'!$K$40/12,12,C52/12,B58))</f>
        <v>520229.61325650627</v>
      </c>
      <c r="D58" s="1222">
        <f>IF($B$26="","",-FV('Part II-Sources of Funds'!$K$40/12,12,D52/12,C58))</f>
        <v>460034.45026365796</v>
      </c>
      <c r="E58" s="1222">
        <f>IF($B$26="","",-FV('Part II-Sources of Funds'!$K$40/12,12,E52/12,D58))</f>
        <v>398236.93103327911</v>
      </c>
      <c r="F58" s="1222">
        <f>IF($B$26="","",-FV('Part II-Sources of Funds'!$K$40/12,12,F52/12,E58))</f>
        <v>334794.40188051696</v>
      </c>
      <c r="G58" s="1222">
        <f>IF($B$26="","",-FV('Part II-Sources of Funds'!$K$40/12,12,G52/12,F58))</f>
        <v>269663.07370706403</v>
      </c>
      <c r="H58" s="1222">
        <f>IF($B$26="","",-FV('Part II-Sources of Funds'!$K$40/12,12,H52/12,G58))</f>
        <v>202797.99177718745</v>
      </c>
      <c r="I58" s="1222">
        <f>IF($B$26="","",-FV('Part II-Sources of Funds'!$K$40/12,12,I52/12,H58))</f>
        <v>134153.00468921594</v>
      </c>
      <c r="J58" s="1222">
        <f>IF($B$26="","",-FV('Part II-Sources of Funds'!$K$40/12,12,J52/12,I58))</f>
        <v>63680.732521068043</v>
      </c>
      <c r="K58" s="1222">
        <f>IF($B$26="","",-FV('Part II-Sources of Funds'!$K$40/12,12,K52/12,J58))</f>
        <v>-8667.4658721654487</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86449.759885486128</v>
      </c>
      <c r="C64" s="1222">
        <f>+'Part VI-Pro Forma'!C57</f>
        <v>84993.145364391079</v>
      </c>
      <c r="D64" s="1222">
        <f>+'Part VI-Pro Forma'!D57</f>
        <v>83412.877861310102</v>
      </c>
      <c r="E64" s="1222">
        <f>+'Part VI-Pro Forma'!E57</f>
        <v>81701.467895856418</v>
      </c>
      <c r="F64" s="1222">
        <f>+'Part VI-Pro Forma'!F57</f>
        <v>79855.258905413211</v>
      </c>
      <c r="G64" s="1222">
        <f>+'Part VI-Pro Forma'!G57</f>
        <v>77867.421584710275</v>
      </c>
      <c r="H64" s="1222">
        <f>+'Part VI-Pro Forma'!H57</f>
        <v>75731.948042629097</v>
      </c>
      <c r="I64" s="1222">
        <f>+'Part VI-Pro Forma'!I57</f>
        <v>73443.645770493065</v>
      </c>
      <c r="J64" s="1222">
        <f>+'Part VI-Pro Forma'!J57</f>
        <v>70995.131415924494</v>
      </c>
      <c r="K64" s="1222">
        <f>+'Part VI-Pro Forma'!K57</f>
        <v>68379.824356165234</v>
      </c>
    </row>
    <row r="65" spans="1:11">
      <c r="A65" s="1221" t="s">
        <v>3441</v>
      </c>
      <c r="B65" s="1222">
        <f>SUM('Part VI-Pro Forma'!B58:B61)</f>
        <v>-68300.795837009136</v>
      </c>
      <c r="C65" s="1222">
        <f>SUM('Part VI-Pro Forma'!C58:C61)</f>
        <v>-68300.795837009136</v>
      </c>
      <c r="D65" s="1222">
        <f>SUM('Part VI-Pro Forma'!D58:D61)</f>
        <v>-68300.795837009136</v>
      </c>
      <c r="E65" s="1222">
        <f>SUM('Part VI-Pro Forma'!E58:E61)</f>
        <v>-68300.795837009136</v>
      </c>
      <c r="F65" s="1222">
        <f>SUM('Part VI-Pro Forma'!F58:F61)</f>
        <v>-68300.795837009136</v>
      </c>
      <c r="G65" s="1222">
        <f>SUM('Part VI-Pro Forma'!G58:G61)</f>
        <v>-68300.795837009136</v>
      </c>
      <c r="H65" s="1222">
        <f>SUM('Part VI-Pro Forma'!H58:H61)</f>
        <v>-68300.795837009136</v>
      </c>
      <c r="I65" s="1222">
        <f>SUM('Part VI-Pro Forma'!I58:I61)</f>
        <v>-68300.795837009136</v>
      </c>
      <c r="J65" s="1222">
        <f>SUM('Part VI-Pro Forma'!J58:J61)</f>
        <v>-68300.795837009136</v>
      </c>
      <c r="K65" s="1222">
        <f>SUM('Part VI-Pro Forma'!K58:K61)</f>
        <v>-68300.795837009136</v>
      </c>
    </row>
    <row r="66" spans="1:11">
      <c r="A66" s="1221" t="s">
        <v>3442</v>
      </c>
      <c r="B66" s="1223">
        <f t="shared" ref="B66:K66" si="7">-B64/B68-B65</f>
        <v>-3740.6707342293084</v>
      </c>
      <c r="C66" s="1223">
        <f t="shared" si="7"/>
        <v>-2526.8252999834367</v>
      </c>
      <c r="D66" s="1223">
        <f t="shared" si="7"/>
        <v>-1209.9357140826178</v>
      </c>
      <c r="E66" s="1223">
        <f t="shared" si="7"/>
        <v>216.23925712877826</v>
      </c>
      <c r="F66" s="1223">
        <f t="shared" si="7"/>
        <v>1754.746749164784</v>
      </c>
      <c r="G66" s="1223">
        <f t="shared" si="7"/>
        <v>3411.2778497505715</v>
      </c>
      <c r="H66" s="1223">
        <f t="shared" si="7"/>
        <v>5190.8391348182195</v>
      </c>
      <c r="I66" s="1223">
        <f t="shared" si="7"/>
        <v>7097.7576949315771</v>
      </c>
      <c r="J66" s="1223">
        <f t="shared" si="7"/>
        <v>9138.1863237387224</v>
      </c>
      <c r="K66" s="1223">
        <f t="shared" si="7"/>
        <v>11317.608873538105</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86449.759885486128</v>
      </c>
      <c r="C71" s="1223">
        <f t="shared" si="9"/>
        <v>84993.145364391079</v>
      </c>
      <c r="D71" s="1223">
        <f t="shared" si="9"/>
        <v>83412.877861310102</v>
      </c>
      <c r="E71" s="1223">
        <f t="shared" si="9"/>
        <v>81701.467895856418</v>
      </c>
      <c r="F71" s="1223">
        <f t="shared" si="9"/>
        <v>79855.258905413211</v>
      </c>
      <c r="G71" s="1223">
        <f t="shared" si="9"/>
        <v>77867.421584710275</v>
      </c>
      <c r="H71" s="1223">
        <f>+H64</f>
        <v>75731.948042629097</v>
      </c>
      <c r="I71" s="1223">
        <f>+I64</f>
        <v>73443.645770493065</v>
      </c>
      <c r="J71" s="1223">
        <f>+J64</f>
        <v>70995.131415924494</v>
      </c>
      <c r="K71" s="1223">
        <f>+K64</f>
        <v>68379.824356165234</v>
      </c>
    </row>
    <row r="72" spans="1:11">
      <c r="A72" s="1221" t="s">
        <v>3444</v>
      </c>
      <c r="B72" s="1223">
        <f t="shared" ref="B72:G72" si="10">IF($B$25="N/A",B65,B65+$B$25)</f>
        <v>-73155.041088310958</v>
      </c>
      <c r="C72" s="1223">
        <f t="shared" si="10"/>
        <v>-73155.041088310958</v>
      </c>
      <c r="D72" s="1223">
        <f t="shared" si="10"/>
        <v>-73155.041088310958</v>
      </c>
      <c r="E72" s="1223">
        <f t="shared" si="10"/>
        <v>-73155.041088310958</v>
      </c>
      <c r="F72" s="1223">
        <f t="shared" si="10"/>
        <v>-73155.041088310958</v>
      </c>
      <c r="G72" s="1223">
        <f t="shared" si="10"/>
        <v>-73155.041088310958</v>
      </c>
      <c r="H72" s="1223">
        <f>IF($B$25="N/A",H65,H65+$B$25)</f>
        <v>-73155.041088310958</v>
      </c>
      <c r="I72" s="1223">
        <f>IF($B$25="N/A",I65,I65+$B$25)</f>
        <v>-73155.041088310958</v>
      </c>
      <c r="J72" s="1223">
        <f>IF($B$25="N/A",J65,J65+$B$25)</f>
        <v>-73155.041088310958</v>
      </c>
      <c r="K72" s="1223">
        <f>IF($B$25="N/A",K65,K65+$B$25)</f>
        <v>-73155.041088310958</v>
      </c>
    </row>
    <row r="73" spans="1:11">
      <c r="A73" s="1221" t="s">
        <v>3445</v>
      </c>
      <c r="B73" s="1222">
        <f>+'Part VI-Pro Forma'!B63</f>
        <v>-7500</v>
      </c>
      <c r="C73" s="1222">
        <f>+'Part VI-Pro Forma'!C63</f>
        <v>-7500</v>
      </c>
      <c r="D73" s="1222">
        <f>+'Part VI-Pro Forma'!D63</f>
        <v>-7500</v>
      </c>
      <c r="E73" s="1222">
        <f>+'Part VI-Pro Forma'!E63</f>
        <v>-7500</v>
      </c>
      <c r="F73" s="1222">
        <f>+'Part VI-Pro Forma'!F63</f>
        <v>-7500</v>
      </c>
      <c r="G73" s="1222">
        <f>+'Part VI-Pro Forma'!G63</f>
        <v>-7500</v>
      </c>
      <c r="H73" s="1222">
        <f>+'Part VI-Pro Forma'!H63</f>
        <v>-7500</v>
      </c>
      <c r="I73" s="1222">
        <f>+'Part VI-Pro Forma'!I63</f>
        <v>-7500</v>
      </c>
      <c r="J73" s="1222">
        <f>+'Part VI-Pro Forma'!J63</f>
        <v>-7500</v>
      </c>
      <c r="K73" s="1222">
        <f>+'Part VI-Pro Forma'!K63</f>
        <v>-7500</v>
      </c>
    </row>
    <row r="74" spans="1:11">
      <c r="A74" s="1221" t="s">
        <v>3446</v>
      </c>
      <c r="B74" s="1223">
        <f t="shared" ref="B74:G74" si="11">+SUM(B71:B73)</f>
        <v>5794.71879717517</v>
      </c>
      <c r="C74" s="1223">
        <f t="shared" si="11"/>
        <v>4338.1042760801211</v>
      </c>
      <c r="D74" s="1223">
        <f t="shared" si="11"/>
        <v>2757.8367729991442</v>
      </c>
      <c r="E74" s="1223">
        <f t="shared" si="11"/>
        <v>1046.4268075454602</v>
      </c>
      <c r="F74" s="1223">
        <f t="shared" si="11"/>
        <v>-799.78218289774668</v>
      </c>
      <c r="G74" s="1223">
        <f t="shared" si="11"/>
        <v>-2787.6195036006829</v>
      </c>
      <c r="H74" s="1223">
        <f>+SUM(H71:H73)</f>
        <v>-4923.0930456818605</v>
      </c>
      <c r="I74" s="1223">
        <f>+SUM(I71:I73)</f>
        <v>-7211.3953178178926</v>
      </c>
      <c r="J74" s="1223">
        <f>+SUM(J71:J73)</f>
        <v>-9659.9096723864641</v>
      </c>
      <c r="K74" s="1223">
        <f>+SUM(K71:K73)</f>
        <v>-12275.216732145724</v>
      </c>
    </row>
    <row r="75" spans="1:11">
      <c r="A75" s="1221" t="s">
        <v>3364</v>
      </c>
      <c r="B75" s="1223">
        <f t="shared" ref="B75:G75" si="12">-B74</f>
        <v>-5794.71879717517</v>
      </c>
      <c r="C75" s="1223">
        <f t="shared" si="12"/>
        <v>-4338.1042760801211</v>
      </c>
      <c r="D75" s="1223">
        <f t="shared" si="12"/>
        <v>-2757.8367729991442</v>
      </c>
      <c r="E75" s="1223">
        <f t="shared" si="12"/>
        <v>-1046.4268075454602</v>
      </c>
      <c r="F75" s="1223">
        <f t="shared" si="12"/>
        <v>799.78218289774668</v>
      </c>
      <c r="G75" s="1223">
        <f t="shared" si="12"/>
        <v>2787.6195036006829</v>
      </c>
      <c r="H75" s="1223">
        <f>-H74</f>
        <v>4923.0930456818605</v>
      </c>
      <c r="I75" s="1223">
        <f>-I74</f>
        <v>7211.3953178178926</v>
      </c>
      <c r="J75" s="1223">
        <f>-J74</f>
        <v>9659.9096723864641</v>
      </c>
      <c r="K75" s="1223">
        <f>-K74</f>
        <v>12275.216732145724</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-82941.526431155886</v>
      </c>
      <c r="C78" s="1222">
        <f>IF($B$26="","",-FV('Part II-Sources of Funds'!$K$40/12,12,C72/12,B78))</f>
        <v>-159192.71435896104</v>
      </c>
      <c r="D78" s="1222">
        <f>IF($B$26="","",-FV('Part II-Sources of Funds'!$K$40/12,12,D72/12,C78))</f>
        <v>-237473.65950512863</v>
      </c>
      <c r="E78" s="1222">
        <f>IF($B$26="","",-FV('Part II-Sources of Funds'!$K$40/12,12,E72/12,D78))</f>
        <v>-317838.39269170165</v>
      </c>
      <c r="F78" s="1222">
        <f>IF($B$26="","",-FV('Part II-Sources of Funds'!$K$40/12,12,F72/12,E78))</f>
        <v>-400342.38300619851</v>
      </c>
      <c r="G78" s="1222">
        <f>IF($B$26="","",-FV('Part II-Sources of Funds'!$K$40/12,12,G72/12,F78))</f>
        <v>-485042.57608730812</v>
      </c>
      <c r="H78" s="1222">
        <f>IF($B$26="","",-FV('Part II-Sources of Funds'!$K$40/12,12,H72/12,G78))</f>
        <v>-571997.43342972535</v>
      </c>
      <c r="I78" s="1222">
        <f>IF($B$26="","",-FV('Part II-Sources of Funds'!$K$40/12,12,I72/12,H78))</f>
        <v>-661266.97273525584</v>
      </c>
      <c r="J78" s="1222">
        <f>IF($B$26="","",-FV('Part II-Sources of Funds'!$K$40/12,12,J72/12,I78))</f>
        <v>-752912.80933804077</v>
      </c>
      <c r="K78" s="1222">
        <f>IF($B$26="","",-FV('Part II-Sources of Funds'!$K$40/12,12,K72/12,J78))</f>
        <v>-846998.19873249484</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Cypress Reserve</v>
      </c>
    </row>
    <row r="2" spans="1:15" ht="13.5" customHeight="1"/>
    <row r="3" spans="1:15" ht="13.5" customHeight="1">
      <c r="A3" s="664" t="s">
        <v>2708</v>
      </c>
      <c r="C3" s="663" t="s">
        <v>2709</v>
      </c>
      <c r="E3" s="749">
        <f>SUM('Part III-A-Uses of Funds'!J162,'Part III-A-Uses of Funds'!M162,'Part III-A-Uses of Funds'!P162)</f>
        <v>12435611</v>
      </c>
      <c r="F3" s="1299" t="s">
        <v>2710</v>
      </c>
      <c r="H3" s="1279">
        <v>27.5</v>
      </c>
      <c r="I3" s="663" t="s">
        <v>2274</v>
      </c>
      <c r="K3" s="668" t="s">
        <v>2731</v>
      </c>
      <c r="M3" s="1299"/>
      <c r="O3" s="750"/>
    </row>
    <row r="4" spans="1:15" ht="13.5" customHeight="1">
      <c r="C4" s="663" t="s">
        <v>3131</v>
      </c>
      <c r="E4" s="749">
        <f>SUM('Part III-A-Uses of Funds'!G97:H101)</f>
        <v>26000</v>
      </c>
      <c r="F4" s="1299" t="s">
        <v>3664</v>
      </c>
      <c r="H4" s="664">
        <f>'Part II-Sources of Funds'!M40</f>
        <v>10</v>
      </c>
      <c r="I4" s="663" t="s">
        <v>2274</v>
      </c>
      <c r="K4" s="751" t="s">
        <v>2959</v>
      </c>
      <c r="M4" s="1299"/>
    </row>
    <row r="5" spans="1:15" ht="13.5" customHeight="1">
      <c r="C5" s="663" t="s">
        <v>3132</v>
      </c>
      <c r="E5" s="749">
        <f>SUM('Part III-A-Uses of Funds'!G105:H111)</f>
        <v>145300</v>
      </c>
      <c r="F5" s="1299" t="s">
        <v>3663</v>
      </c>
      <c r="H5" s="1279">
        <v>15</v>
      </c>
      <c r="I5" s="663" t="s">
        <v>2274</v>
      </c>
      <c r="K5" s="750">
        <f>-E6</f>
        <v>-12833120</v>
      </c>
    </row>
    <row r="6" spans="1:15" ht="13.5" customHeight="1">
      <c r="C6" s="663" t="s">
        <v>2711</v>
      </c>
      <c r="E6" s="752">
        <f>'Part II-Sources of Funds'!$I$51+'Part II-Sources of Funds'!$I$52</f>
        <v>12833120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-0.10383700909733307</v>
      </c>
      <c r="D9" s="757">
        <f>'Part VI-Pro Forma'!C33</f>
        <v>-5.9997009098879062E-2</v>
      </c>
      <c r="E9" s="757">
        <f>'Part VI-Pro Forma'!D33</f>
        <v>18112.161419790835</v>
      </c>
      <c r="F9" s="757">
        <f>'Part VI-Pro Forma'!E33</f>
        <v>17764.46686592685</v>
      </c>
      <c r="G9" s="757">
        <f>'Part VI-Pro Forma'!F33</f>
        <v>17045.643410015546</v>
      </c>
      <c r="H9" s="757">
        <f>'Part VI-Pro Forma'!G33</f>
        <v>16234.354623687046</v>
      </c>
      <c r="I9" s="757">
        <f>'Part VI-Pro Forma'!H33</f>
        <v>15328.136334493742</v>
      </c>
      <c r="K9" s="750" t="e">
        <f>F24</f>
        <v>#VALUE!</v>
      </c>
      <c r="N9" s="758" t="s">
        <v>2717</v>
      </c>
    </row>
    <row r="10" spans="1:15" ht="13.5" customHeight="1">
      <c r="A10" s="663" t="s">
        <v>2716</v>
      </c>
      <c r="C10" s="1248">
        <f>'Part II-Sources of Funds'!I40-'Part VI-Pro Forma'!B40</f>
        <v>53158.538257737062</v>
      </c>
      <c r="D10" s="759">
        <f>'Part VI-Pro Forma'!B40-'Part VI-Pro Forma'!C40</f>
        <v>54573.584103952511</v>
      </c>
      <c r="E10" s="759">
        <f>'Part VI-Pro Forma'!C40-'Part VI-Pro Forma'!D40</f>
        <v>56026.297553765005</v>
      </c>
      <c r="F10" s="759">
        <f>'Part VI-Pro Forma'!D40-'Part VI-Pro Forma'!E40</f>
        <v>57517.681294376962</v>
      </c>
      <c r="G10" s="759">
        <f>'Part VI-Pro Forma'!E40-'Part VI-Pro Forma'!F40</f>
        <v>59048.76470387436</v>
      </c>
      <c r="H10" s="759">
        <f>'Part VI-Pro Forma'!F40-'Part VI-Pro Forma'!G40</f>
        <v>60620.604561720946</v>
      </c>
      <c r="I10" s="759">
        <f>'Part VI-Pro Forma'!G40-'Part VI-Pro Forma'!H40</f>
        <v>62234.285778165038</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-12500</v>
      </c>
      <c r="D13" s="1249">
        <f>'Part VI-Pro Forma'!C23</f>
        <v>-12875</v>
      </c>
      <c r="E13" s="1249">
        <f>'Part VI-Pro Forma'!D23</f>
        <v>-13261.25</v>
      </c>
      <c r="F13" s="1249">
        <f>'Part VI-Pro Forma'!E23</f>
        <v>-13659.0875</v>
      </c>
      <c r="G13" s="1249">
        <f>'Part VI-Pro Forma'!F23</f>
        <v>-14068.860124999999</v>
      </c>
      <c r="H13" s="1249">
        <f>'Part VI-Pro Forma'!G23</f>
        <v>-14490.925928749997</v>
      </c>
      <c r="I13" s="1249">
        <f>'Part VI-Pro Forma'!H23</f>
        <v>-14925.653706612498</v>
      </c>
      <c r="K13" s="750" t="e">
        <f>C44</f>
        <v>#VALUE!</v>
      </c>
      <c r="O13" s="755"/>
    </row>
    <row r="14" spans="1:15" ht="13.5" customHeight="1">
      <c r="A14" s="761" t="s">
        <v>3134</v>
      </c>
      <c r="B14" s="762"/>
      <c r="C14" s="1249">
        <f>'Part VI-Pro Forma'!B32</f>
        <v>-19407</v>
      </c>
      <c r="D14" s="1249">
        <f>'Part VI-Pro Forma'!C32</f>
        <v>-18941</v>
      </c>
      <c r="E14" s="1249">
        <f>'Part VI-Pro Forma'!D32</f>
        <v>-282</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452204.03636363638</v>
      </c>
      <c r="D15" s="764">
        <f t="shared" si="0"/>
        <v>452204.03636363638</v>
      </c>
      <c r="E15" s="764">
        <f t="shared" si="0"/>
        <v>452204.03636363638</v>
      </c>
      <c r="F15" s="764">
        <f t="shared" si="0"/>
        <v>452204.03636363638</v>
      </c>
      <c r="G15" s="764">
        <f t="shared" si="0"/>
        <v>452204.03636363638</v>
      </c>
      <c r="H15" s="764">
        <f t="shared" si="0"/>
        <v>452204.03636363638</v>
      </c>
      <c r="I15" s="764">
        <f t="shared" si="0"/>
        <v>452204.03636363638</v>
      </c>
      <c r="K15" s="750" t="e">
        <f>E44</f>
        <v>#VALUE!</v>
      </c>
      <c r="O15" s="755"/>
    </row>
    <row r="16" spans="1:15" ht="13.5" customHeight="1">
      <c r="A16" s="763" t="s">
        <v>2721</v>
      </c>
      <c r="C16" s="764">
        <f>IF(C$8&lt;=$H$4,($E$4/$H$4),0)+IF(C$8&lt;=$H$5,($E$5/$H$5),0)</f>
        <v>12286.666666666666</v>
      </c>
      <c r="D16" s="764">
        <f t="shared" ref="D16:I16" si="1">IF(D$8&lt;=$H$4,($E$4/$H$4),0)+IF(D$8&lt;=$H$5,($E$5/$H$5),0)</f>
        <v>12286.666666666666</v>
      </c>
      <c r="E16" s="764">
        <f t="shared" si="1"/>
        <v>12286.666666666666</v>
      </c>
      <c r="F16" s="764">
        <f t="shared" si="1"/>
        <v>12286.666666666666</v>
      </c>
      <c r="G16" s="764">
        <f t="shared" si="1"/>
        <v>12286.666666666666</v>
      </c>
      <c r="H16" s="764">
        <f t="shared" si="1"/>
        <v>12286.666666666666</v>
      </c>
      <c r="I16" s="764">
        <f t="shared" si="1"/>
        <v>12286.666666666666</v>
      </c>
      <c r="K16" s="750" t="e">
        <f>F44</f>
        <v>#VALUE!</v>
      </c>
      <c r="M16" s="663" t="s">
        <v>2725</v>
      </c>
      <c r="O16" s="755">
        <f>E3</f>
        <v>12435611</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9044080.7272727266</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3391530.2727272734</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2728</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3391530.2727272734</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-3391530.2727272734</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14320.392240564353</v>
      </c>
      <c r="D29" s="757">
        <f>'Part VI-Pro Forma'!J33</f>
        <v>13208.389382635694</v>
      </c>
      <c r="E29" s="757">
        <f>'Part VI-Pro Forma'!K33</f>
        <v>11985.253468964002</v>
      </c>
      <c r="F29" s="757">
        <f>'Part VI-Pro Forma'!B65</f>
        <v>10648.964048476992</v>
      </c>
      <c r="G29" s="757">
        <f>'Part VI-Pro Forma'!C65</f>
        <v>9192.3495273819426</v>
      </c>
      <c r="H29" s="757">
        <f>'Part VI-Pro Forma'!D65</f>
        <v>7612.0820243009657</v>
      </c>
      <c r="I29" s="757">
        <f>'Part VI-Pro Forma'!E65</f>
        <v>5900.6720588472817</v>
      </c>
      <c r="N29" s="768"/>
      <c r="O29" s="768"/>
    </row>
    <row r="30" spans="1:17" ht="13.5" customHeight="1">
      <c r="A30" s="663" t="s">
        <v>2716</v>
      </c>
      <c r="C30" s="759">
        <f>'Part VI-Pro Forma'!H40-'Part VI-Pro Forma'!I40</f>
        <v>63890.922143062868</v>
      </c>
      <c r="D30" s="759">
        <f>'Part VI-Pro Forma'!I40-'Part VI-Pro Forma'!J40</f>
        <v>65591.657094635011</v>
      </c>
      <c r="E30" s="759">
        <f>'Part VI-Pro Forma'!J40-'Part VI-Pro Forma'!K40</f>
        <v>67337.664508686605</v>
      </c>
      <c r="F30" s="1246">
        <f>'Part VI-Pro Forma'!K40-'Part VI-Pro Forma'!B72</f>
        <v>69130.149508836141</v>
      </c>
      <c r="G30" s="1246">
        <f>'Part VI-Pro Forma'!B72-'Part VI-Pro Forma'!C72</f>
        <v>70970.349298312052</v>
      </c>
      <c r="H30" s="1246">
        <f>'Part VI-Pro Forma'!C72-'Part VI-Pro Forma'!D72</f>
        <v>72859.53401389104</v>
      </c>
      <c r="I30" s="1246">
        <f>'Part VI-Pro Forma'!D72-'Part VI-Pro Forma'!E72</f>
        <v>74799.007602567988</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-678306.05454545468</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-15373.423317810875</v>
      </c>
      <c r="D33" s="1249">
        <f>'Part VI-Pro Forma'!J23</f>
        <v>-15834.626017345199</v>
      </c>
      <c r="E33" s="1249">
        <f>'Part VI-Pro Forma'!K23</f>
        <v>-16309.664797865556</v>
      </c>
      <c r="F33" s="1249">
        <f>'Part VI-Pro Forma'!B55</f>
        <v>-16798.954741801521</v>
      </c>
      <c r="G33" s="1249">
        <f>'Part VI-Pro Forma'!C55</f>
        <v>-17302.923384055568</v>
      </c>
      <c r="H33" s="1249">
        <f>'Part VI-Pro Forma'!D55</f>
        <v>-17822.011085577233</v>
      </c>
      <c r="I33" s="1249">
        <f>'Part VI-Pro Forma'!E55</f>
        <v>-18356.67141814455</v>
      </c>
      <c r="K33" s="663" t="s">
        <v>233</v>
      </c>
      <c r="M33" s="663" t="s">
        <v>2736</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452204.03636363638</v>
      </c>
      <c r="D35" s="764">
        <f t="shared" si="8"/>
        <v>452204.03636363638</v>
      </c>
      <c r="E35" s="764">
        <f t="shared" si="8"/>
        <v>452204.03636363638</v>
      </c>
      <c r="F35" s="764">
        <f t="shared" si="8"/>
        <v>452204.03636363638</v>
      </c>
      <c r="G35" s="764">
        <f t="shared" si="8"/>
        <v>452204.03636363638</v>
      </c>
      <c r="H35" s="764">
        <f t="shared" si="8"/>
        <v>452204.03636363638</v>
      </c>
      <c r="I35" s="764">
        <f t="shared" si="8"/>
        <v>452204.03636363638</v>
      </c>
    </row>
    <row r="36" spans="1:15" ht="13.5" customHeight="1">
      <c r="A36" s="763" t="s">
        <v>2721</v>
      </c>
      <c r="C36" s="757">
        <f>IF(C$28&lt;=$H$4,($E$4/$H$4),0)+IF(C$28&lt;=$H$5,($E$5/$H$5),0)</f>
        <v>12286.666666666666</v>
      </c>
      <c r="D36" s="757">
        <f t="shared" ref="D36:I36" si="9">IF(D$28&lt;=$H$4,($E$4/$H$4),0)+IF(D$28&lt;=$H$5,($E$5/$H$5),0)</f>
        <v>12286.666666666666</v>
      </c>
      <c r="E36" s="757">
        <f t="shared" si="9"/>
        <v>12286.666666666666</v>
      </c>
      <c r="F36" s="757">
        <f t="shared" si="9"/>
        <v>9686.6666666666661</v>
      </c>
      <c r="G36" s="757">
        <f t="shared" si="9"/>
        <v>9686.6666666666661</v>
      </c>
      <c r="H36" s="757">
        <f t="shared" si="9"/>
        <v>9686.6666666666661</v>
      </c>
      <c r="I36" s="757">
        <f t="shared" si="9"/>
        <v>9686.6666666666661</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1035000</v>
      </c>
      <c r="D41" s="765">
        <f>C41</f>
        <v>1035000</v>
      </c>
      <c r="E41" s="765">
        <f>D41</f>
        <v>1035000</v>
      </c>
      <c r="F41" s="765">
        <v>0</v>
      </c>
      <c r="G41" s="765">
        <v>0</v>
      </c>
      <c r="H41" s="765">
        <v>0</v>
      </c>
      <c r="I41" s="765">
        <v>0</v>
      </c>
    </row>
    <row r="42" spans="1:15" ht="13.5" customHeight="1">
      <c r="A42" s="663" t="s">
        <v>2728</v>
      </c>
      <c r="C42" s="765">
        <f>C22</f>
        <v>1035000</v>
      </c>
      <c r="D42" s="765">
        <f>C42</f>
        <v>1035000</v>
      </c>
      <c r="E42" s="765">
        <f>D42</f>
        <v>1035000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4054.4630684040749</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76790.10872156173</v>
      </c>
      <c r="D50" s="1247">
        <f>'Part VI-Pro Forma'!F72-'Part VI-Pro Forma'!G72</f>
        <v>78834.211662279209</v>
      </c>
      <c r="E50" s="1247">
        <f>'Part VI-Pro Forma'!G72-'Part VI-Pro Forma'!H72</f>
        <v>80932.727298873942</v>
      </c>
      <c r="F50" s="1247">
        <f>'Part VI-Pro Forma'!H72-'Part VI-Pro Forma'!I72</f>
        <v>83087.10406205547</v>
      </c>
      <c r="G50" s="1247">
        <f>'Part VI-Pro Forma'!I72-'Part VI-Pro Forma'!J72</f>
        <v>85298.828938820167</v>
      </c>
      <c r="H50" s="1247">
        <f>'Part VI-Pro Forma'!J72-'Part VI-Pro Forma'!K72</f>
        <v>87569.428498794907</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-18907.371560688887</v>
      </c>
      <c r="D53" s="1249">
        <f>'Part VI-Pro Forma'!G55</f>
        <v>-19474.592707509557</v>
      </c>
      <c r="E53" s="1249">
        <f>'Part VI-Pro Forma'!H55</f>
        <v>-20058.830488734839</v>
      </c>
      <c r="F53" s="1249">
        <f>'Part VI-Pro Forma'!I55</f>
        <v>-20660.595403396885</v>
      </c>
      <c r="G53" s="1249">
        <f>'Part VI-Pro Forma'!J55</f>
        <v>-21280.413265498792</v>
      </c>
      <c r="H53" s="1249">
        <f>'Part VI-Pro Forma'!K55</f>
        <v>-21918.825663463755</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452204.03636363638</v>
      </c>
      <c r="D55" s="764">
        <f t="shared" si="14"/>
        <v>452204.03636363638</v>
      </c>
      <c r="E55" s="764">
        <f t="shared" si="14"/>
        <v>452204.03636363638</v>
      </c>
      <c r="F55" s="764">
        <f t="shared" si="14"/>
        <v>452204.03636363638</v>
      </c>
      <c r="G55" s="764">
        <f t="shared" si="14"/>
        <v>452204.03636363638</v>
      </c>
      <c r="H55" s="764">
        <f t="shared" si="14"/>
        <v>452204.03636363638</v>
      </c>
    </row>
    <row r="56" spans="1:10" ht="13.5" customHeight="1">
      <c r="A56" s="763" t="s">
        <v>2721</v>
      </c>
      <c r="C56" s="757">
        <f t="shared" ref="C56:H56" si="15">IF(C$48&lt;=$H$4,($E$4/$H$4),0)+IF(C$48&lt;=$H$5,($E$5/$H$5),0)</f>
        <v>9686.6666666666661</v>
      </c>
      <c r="D56" s="757">
        <f t="shared" si="15"/>
        <v>0</v>
      </c>
      <c r="E56" s="757">
        <f t="shared" si="15"/>
        <v>0</v>
      </c>
      <c r="F56" s="757">
        <f t="shared" si="15"/>
        <v>0</v>
      </c>
      <c r="G56" s="757">
        <f t="shared" si="15"/>
        <v>0</v>
      </c>
      <c r="H56" s="757">
        <f t="shared" si="15"/>
        <v>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8"/>
  <sheetViews>
    <sheetView showGridLines="0" topLeftCell="A2" zoomScaleNormal="100" workbookViewId="0">
      <selection activeCell="F15" sqref="F15:H1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1" customHeight="1">
      <c r="A2" s="3357" t="str">
        <f>CONCATENATE("PART ONE - PROJECT INFORMATION"," - ",$O$7," ",$F$29,", ",'Part I-Project Identification'!F30,", ",'Part I-Project Identification'!J30," County")</f>
        <v>PART ONE - PROJECT INFORMATION - 2022-0 Cypress Reserve, Adel, Cook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6751</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6748</v>
      </c>
      <c r="B6" s="3372"/>
      <c r="C6" s="3372"/>
      <c r="D6" s="3372"/>
      <c r="F6" s="316"/>
      <c r="G6" s="292" t="s">
        <v>3828</v>
      </c>
      <c r="L6" s="862"/>
      <c r="P6" s="2357" t="s">
        <v>3292</v>
      </c>
      <c r="Z6" s="2246">
        <v>6</v>
      </c>
    </row>
    <row r="7" spans="1:26" s="315" customFormat="1" ht="12" customHeight="1" thickBot="1">
      <c r="A7" s="3372"/>
      <c r="B7" s="3372"/>
      <c r="C7" s="3372"/>
      <c r="D7" s="3372"/>
      <c r="E7" s="1272"/>
      <c r="F7" s="318"/>
      <c r="G7" s="292" t="s">
        <v>6087</v>
      </c>
      <c r="H7" s="1046"/>
      <c r="I7" s="1046"/>
      <c r="J7" s="1046"/>
      <c r="O7" s="3360" t="s">
        <v>6514</v>
      </c>
      <c r="P7" s="3361"/>
      <c r="Q7" s="3300" t="s">
        <v>6642</v>
      </c>
      <c r="R7" s="3300"/>
      <c r="S7" s="3301"/>
      <c r="Z7" s="2246">
        <v>7</v>
      </c>
    </row>
    <row r="8" spans="1:26" s="315" customFormat="1" ht="12" customHeight="1">
      <c r="A8" s="3372"/>
      <c r="B8" s="3372"/>
      <c r="C8" s="3372"/>
      <c r="D8" s="3372"/>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2193</v>
      </c>
      <c r="D10" s="293"/>
      <c r="E10" s="319"/>
      <c r="F10" s="320" t="s">
        <v>3269</v>
      </c>
      <c r="I10" s="3362">
        <f>'Part III-A-Uses of Funds'!$J$191</f>
        <v>1035000</v>
      </c>
      <c r="J10" s="3363"/>
      <c r="L10" s="315" t="s">
        <v>3270</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1892</v>
      </c>
      <c r="F12" s="3366" t="s">
        <v>6945</v>
      </c>
      <c r="G12" s="3367"/>
      <c r="H12" s="3368"/>
      <c r="I12" s="2364" t="s">
        <v>6525</v>
      </c>
      <c r="J12" s="516" t="s">
        <v>6524</v>
      </c>
      <c r="K12" s="326"/>
      <c r="L12" s="1046"/>
      <c r="O12" s="3369" t="s">
        <v>6957</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3675</v>
      </c>
      <c r="D14" s="1664"/>
      <c r="E14" s="2556"/>
      <c r="G14" s="2556"/>
      <c r="H14" s="2556"/>
      <c r="I14" s="2556"/>
      <c r="L14" s="2557"/>
      <c r="Q14" s="3302"/>
      <c r="R14" s="3303"/>
      <c r="S14" s="3304"/>
      <c r="Z14" s="2246">
        <v>14</v>
      </c>
    </row>
    <row r="15" spans="1:26" s="1661" customFormat="1">
      <c r="B15" s="1661" t="s">
        <v>3298</v>
      </c>
      <c r="F15" s="3342" t="s">
        <v>6949</v>
      </c>
      <c r="G15" s="3343"/>
      <c r="H15" s="3344"/>
      <c r="I15" s="2558" t="s">
        <v>1671</v>
      </c>
      <c r="J15" s="3342" t="s">
        <v>6950</v>
      </c>
      <c r="K15" s="3343"/>
      <c r="L15" s="3344"/>
      <c r="M15" s="2559" t="s">
        <v>1839</v>
      </c>
      <c r="N15" s="3345" t="s">
        <v>6951</v>
      </c>
      <c r="O15" s="3346"/>
      <c r="P15" s="3347"/>
      <c r="Q15" s="3302"/>
      <c r="R15" s="3303"/>
      <c r="S15" s="3304"/>
      <c r="Z15" s="2246">
        <v>15</v>
      </c>
    </row>
    <row r="16" spans="1:26" s="1661" customFormat="1">
      <c r="B16" s="1664" t="s">
        <v>1840</v>
      </c>
      <c r="F16" s="3328" t="s">
        <v>6954</v>
      </c>
      <c r="G16" s="3329"/>
      <c r="H16" s="3329"/>
      <c r="I16" s="3329"/>
      <c r="J16" s="3329"/>
      <c r="K16" s="3329"/>
      <c r="L16" s="3330"/>
      <c r="M16" s="3331" t="s">
        <v>3297</v>
      </c>
      <c r="N16" s="3331"/>
      <c r="O16" s="3331"/>
      <c r="P16" s="3331"/>
      <c r="Q16" s="3302"/>
      <c r="R16" s="3303"/>
      <c r="S16" s="3304"/>
      <c r="Z16" s="2246">
        <v>16</v>
      </c>
    </row>
    <row r="17" spans="1:26" s="1661" customFormat="1">
      <c r="B17" s="1664" t="s">
        <v>575</v>
      </c>
      <c r="F17" s="3332" t="s">
        <v>189</v>
      </c>
      <c r="G17" s="3333"/>
      <c r="H17" s="3334"/>
      <c r="I17" s="2563" t="s">
        <v>1672</v>
      </c>
      <c r="J17" s="2560" t="s">
        <v>781</v>
      </c>
      <c r="K17" s="2566"/>
      <c r="L17" s="2564"/>
      <c r="M17" s="3331"/>
      <c r="N17" s="3331"/>
      <c r="O17" s="3331"/>
      <c r="P17" s="3331"/>
      <c r="Q17" s="3302"/>
      <c r="R17" s="3303"/>
      <c r="S17" s="3304"/>
      <c r="Z17" s="2246">
        <v>17</v>
      </c>
    </row>
    <row r="18" spans="1:26" s="1661" customFormat="1">
      <c r="B18" s="1664" t="s">
        <v>2062</v>
      </c>
      <c r="F18" s="3335">
        <v>356016822</v>
      </c>
      <c r="G18" s="3336"/>
      <c r="H18" s="3337"/>
      <c r="I18" s="2565" t="s">
        <v>1600</v>
      </c>
      <c r="J18" s="3338">
        <v>2562603121</v>
      </c>
      <c r="K18" s="3339"/>
      <c r="L18" s="2561" t="s">
        <v>1599</v>
      </c>
      <c r="M18" s="834"/>
      <c r="N18" s="1664" t="s">
        <v>1601</v>
      </c>
      <c r="O18" s="3340">
        <v>2562603121</v>
      </c>
      <c r="P18" s="3341"/>
      <c r="Q18" s="3302"/>
      <c r="R18" s="3303"/>
      <c r="S18" s="3304"/>
      <c r="Z18" s="2246">
        <v>18</v>
      </c>
    </row>
    <row r="19" spans="1:26" s="1661" customFormat="1">
      <c r="B19" s="1664" t="s">
        <v>1843</v>
      </c>
      <c r="F19" s="3321" t="s">
        <v>6955</v>
      </c>
      <c r="G19" s="3322"/>
      <c r="H19" s="3322"/>
      <c r="I19" s="3322"/>
      <c r="J19" s="3322"/>
      <c r="K19" s="3323"/>
      <c r="N19" s="1664" t="s">
        <v>1838</v>
      </c>
      <c r="O19" s="3324"/>
      <c r="P19" s="3325"/>
      <c r="Q19" s="3302"/>
      <c r="R19" s="3303"/>
      <c r="S19" s="3304"/>
      <c r="Z19" s="2246">
        <v>19</v>
      </c>
    </row>
    <row r="20" spans="1:26" s="1661" customFormat="1">
      <c r="A20" s="2562"/>
      <c r="B20" s="1665" t="s">
        <v>3674</v>
      </c>
      <c r="C20" s="181"/>
      <c r="H20" s="2561"/>
      <c r="J20" s="181"/>
      <c r="P20" s="2561"/>
      <c r="Q20" s="3302"/>
      <c r="R20" s="3303"/>
      <c r="S20" s="3304"/>
      <c r="Z20" s="2246">
        <v>20</v>
      </c>
    </row>
    <row r="21" spans="1:26" s="1661" customFormat="1">
      <c r="B21" s="1661" t="s">
        <v>3298</v>
      </c>
      <c r="F21" s="3342" t="s">
        <v>6949</v>
      </c>
      <c r="G21" s="3343"/>
      <c r="H21" s="3344"/>
      <c r="I21" s="2558" t="s">
        <v>1671</v>
      </c>
      <c r="J21" s="3342" t="s">
        <v>6953</v>
      </c>
      <c r="K21" s="3343"/>
      <c r="L21" s="3344"/>
      <c r="M21" s="2559" t="s">
        <v>1839</v>
      </c>
      <c r="N21" s="3345" t="s">
        <v>6952</v>
      </c>
      <c r="O21" s="3346"/>
      <c r="P21" s="3347"/>
      <c r="Q21" s="3302"/>
      <c r="R21" s="3303"/>
      <c r="S21" s="3304"/>
      <c r="Z21" s="2245">
        <v>21</v>
      </c>
    </row>
    <row r="22" spans="1:26" s="1661" customFormat="1">
      <c r="B22" s="1664" t="s">
        <v>1840</v>
      </c>
      <c r="F22" s="3328" t="s">
        <v>6954</v>
      </c>
      <c r="G22" s="3329"/>
      <c r="H22" s="3329"/>
      <c r="I22" s="3329"/>
      <c r="J22" s="3329"/>
      <c r="K22" s="3329"/>
      <c r="L22" s="3330"/>
      <c r="M22" s="3348" t="s">
        <v>3297</v>
      </c>
      <c r="N22" s="3348"/>
      <c r="O22" s="3348"/>
      <c r="P22" s="3348"/>
      <c r="Q22" s="3302"/>
      <c r="R22" s="3303"/>
      <c r="S22" s="3304"/>
      <c r="Z22" s="2246">
        <v>22</v>
      </c>
    </row>
    <row r="23" spans="1:26" s="1661" customFormat="1">
      <c r="B23" s="1664" t="s">
        <v>575</v>
      </c>
      <c r="F23" s="3332" t="s">
        <v>189</v>
      </c>
      <c r="G23" s="3333"/>
      <c r="H23" s="3334"/>
      <c r="I23" s="2567" t="s">
        <v>1672</v>
      </c>
      <c r="J23" s="2560" t="s">
        <v>781</v>
      </c>
      <c r="K23" s="2566"/>
      <c r="L23" s="2564"/>
      <c r="M23" s="3348"/>
      <c r="N23" s="3348"/>
      <c r="O23" s="3348"/>
      <c r="P23" s="3348"/>
      <c r="Q23" s="3302"/>
      <c r="R23" s="3303"/>
      <c r="S23" s="3304"/>
      <c r="Z23" s="2246">
        <v>23</v>
      </c>
    </row>
    <row r="24" spans="1:26" s="1661" customFormat="1">
      <c r="B24" s="1664" t="s">
        <v>2062</v>
      </c>
      <c r="F24" s="3335">
        <v>356016822</v>
      </c>
      <c r="G24" s="3336"/>
      <c r="H24" s="3337"/>
      <c r="I24" s="2565" t="s">
        <v>1600</v>
      </c>
      <c r="J24" s="3338">
        <v>2562603121</v>
      </c>
      <c r="K24" s="3339"/>
      <c r="L24" s="2561" t="s">
        <v>1599</v>
      </c>
      <c r="M24" s="834"/>
      <c r="N24" s="1664" t="s">
        <v>1601</v>
      </c>
      <c r="O24" s="3340">
        <v>2562603121</v>
      </c>
      <c r="P24" s="3341"/>
      <c r="Q24" s="3302"/>
      <c r="R24" s="3303"/>
      <c r="S24" s="3304"/>
      <c r="Z24" s="2246">
        <v>24</v>
      </c>
    </row>
    <row r="25" spans="1:26" s="1661" customFormat="1">
      <c r="B25" s="1664" t="s">
        <v>1843</v>
      </c>
      <c r="F25" s="3321" t="s">
        <v>6956</v>
      </c>
      <c r="G25" s="3322"/>
      <c r="H25" s="3322"/>
      <c r="I25" s="3322"/>
      <c r="J25" s="3322"/>
      <c r="K25" s="3323"/>
      <c r="N25" s="1664" t="s">
        <v>1838</v>
      </c>
      <c r="O25" s="3324">
        <v>2565659963</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6948</v>
      </c>
      <c r="G29" s="3350"/>
      <c r="H29" s="3350"/>
      <c r="I29" s="3351"/>
      <c r="J29" s="3350"/>
      <c r="K29" s="3352"/>
      <c r="M29" s="1034" t="s">
        <v>425</v>
      </c>
      <c r="P29" s="2568" t="s">
        <v>2654</v>
      </c>
      <c r="Q29" s="3302"/>
      <c r="R29" s="3303"/>
      <c r="S29" s="3304"/>
      <c r="Z29" s="2246">
        <v>29</v>
      </c>
    </row>
    <row r="30" spans="1:26" s="315" customFormat="1">
      <c r="A30" s="495"/>
      <c r="B30" s="315" t="s">
        <v>575</v>
      </c>
      <c r="F30" s="3310" t="s">
        <v>436</v>
      </c>
      <c r="G30" s="3311"/>
      <c r="H30" s="3312"/>
      <c r="I30" s="340" t="s">
        <v>576</v>
      </c>
      <c r="J30" s="3353" t="str">
        <f>IF(F30="","",VLOOKUP(F30,'DCA Underwriting Assumptions'!$T$136:$U$765,2,FALSE))</f>
        <v>Cook</v>
      </c>
      <c r="K30" s="3354"/>
      <c r="M30" s="2618" t="s">
        <v>426</v>
      </c>
      <c r="P30" s="2641" t="s">
        <v>2654</v>
      </c>
      <c r="Q30" s="3302"/>
      <c r="R30" s="3303"/>
      <c r="S30" s="3304"/>
      <c r="U30" s="2562"/>
      <c r="W30" s="1661"/>
      <c r="X30" s="1661"/>
      <c r="Y30" s="1661"/>
      <c r="Z30" s="2246">
        <v>30</v>
      </c>
    </row>
    <row r="31" spans="1:26" s="315" customFormat="1" ht="13.5">
      <c r="A31" s="2120"/>
      <c r="B31" s="1661" t="s">
        <v>3911</v>
      </c>
      <c r="C31" s="330"/>
      <c r="D31" s="331"/>
      <c r="E31" s="331"/>
      <c r="F31" s="3310" t="s">
        <v>6910</v>
      </c>
      <c r="G31" s="3311"/>
      <c r="H31" s="3312"/>
      <c r="I31" s="2617"/>
      <c r="J31" s="515" t="s">
        <v>6728</v>
      </c>
      <c r="K31" s="2617"/>
      <c r="M31" s="1664" t="s">
        <v>6674</v>
      </c>
      <c r="N31" s="1661"/>
      <c r="O31" s="3373">
        <v>5.33</v>
      </c>
      <c r="P31" s="3374"/>
      <c r="Q31" s="3302"/>
      <c r="R31" s="3303"/>
      <c r="S31" s="3304"/>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Non-MSA</v>
      </c>
      <c r="O32" s="3355" t="str">
        <f>IF($F$30="","",VLOOKUP($J$30,'DCA Underwriting Assumptions'!$G$136:$L$295,3,FALSE))</f>
        <v>Cook Co.</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6661</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6660</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3937</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6"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formula1>1000000000</formula1>
      <formula2>9999999999</formula2>
    </dataValidation>
    <dataValidation type="list" allowBlank="1" showInputMessage="1" showErrorMessage="1" sqref="H36:H37 D33 P38 I38:I41 D31">
      <formula1>"Yes, No"</formula1>
    </dataValidation>
    <dataValidation type="list" showInputMessage="1" showErrorMessage="1" sqref="F32">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formula1>1000000</formula1>
      <formula2>999999999</formula2>
    </dataValidation>
    <dataValidation type="list" allowBlank="1" showInputMessage="1" showErrorMessage="1" sqref="F31:H31">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Cypress Reserve</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6064</v>
      </c>
      <c r="B4" s="4585"/>
      <c r="C4" s="1879"/>
      <c r="D4" s="4585" t="s">
        <v>6065</v>
      </c>
      <c r="E4" s="4585"/>
      <c r="F4" s="1880"/>
      <c r="G4" s="4585" t="s">
        <v>6066</v>
      </c>
      <c r="H4" s="4585"/>
      <c r="I4" s="1880"/>
      <c r="J4" s="4585" t="s">
        <v>6184</v>
      </c>
      <c r="K4" s="4585"/>
    </row>
    <row r="5" spans="1:11" ht="25.9" customHeight="1">
      <c r="A5" s="4586" t="str">
        <f>'Part II-Sources of Funds'!E40</f>
        <v>Central Bank of Kansas City (CDFI CMF)</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5691.732986417428</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5691.732986417428</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5691.732986417428</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5691.732986417428</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5691.732986417428</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5691.732986417428</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5691.732986417428</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5691.732986417428</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5691.732986417428</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5691.732986417428</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5691.732986417428</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5691.732986417428</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5691.732986417428</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5691.732986417428</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5691.732986417428</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5691.732986417428</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5691.732986417428</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5691.732986417428</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5691.732986417428</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5691.732986417428</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5691.732986417428</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5691.732986417428</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5691.732986417428</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5691.732986417428</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5691.732986417428</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5691.732986417428</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5691.732986417428</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5691.732986417428</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5691.732986417428</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5691.732986417428</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5691.732986417428</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5691.732986417428</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5691.732986417428</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5691.732986417428</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5691.732986417428</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Cypress Reserve</v>
      </c>
      <c r="B1" s="4588"/>
      <c r="C1" s="4588"/>
      <c r="D1" s="4588"/>
      <c r="E1" s="4588"/>
      <c r="F1" s="4588"/>
      <c r="G1" s="4588"/>
      <c r="H1" s="4588"/>
    </row>
    <row r="3" spans="1:13" ht="12" customHeight="1">
      <c r="A3" s="4589" t="s">
        <v>3108</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Cypress Reserve</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8966590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120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50</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2</v>
      </c>
      <c r="G58" s="774" t="s">
        <v>3109</v>
      </c>
    </row>
    <row r="59" spans="1:7" ht="3" customHeight="1">
      <c r="F59" s="783"/>
    </row>
    <row r="60" spans="1:7" ht="12" customHeight="1">
      <c r="A60" s="774">
        <v>20</v>
      </c>
      <c r="C60" s="774" t="s">
        <v>2770</v>
      </c>
      <c r="F60" s="1311">
        <f>'Subsidy Layering Memo'!$L$70</f>
        <v>-780271.44960596901</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146406</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56128</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4" t="s">
        <v>2962</v>
      </c>
      <c r="B1" s="4604"/>
      <c r="C1" s="4604"/>
      <c r="D1" s="4604"/>
      <c r="E1" s="4604"/>
      <c r="F1" s="4604"/>
      <c r="G1" s="4604"/>
      <c r="H1" s="4604"/>
      <c r="I1" s="4604"/>
      <c r="J1" s="4604"/>
    </row>
    <row r="2" spans="1:13" ht="15">
      <c r="A2" s="4604" t="str">
        <f>'Sensitivity Analysis'!E8&amp;"  "&amp;'Sensitivity Analysis'!C8</f>
        <v>2022-0  Cypress Reserve</v>
      </c>
      <c r="B2" s="4604"/>
      <c r="C2" s="4604"/>
      <c r="D2" s="4604"/>
      <c r="E2" s="4604"/>
      <c r="F2" s="4604"/>
      <c r="G2" s="4604"/>
      <c r="H2" s="4604"/>
      <c r="I2" s="4604"/>
      <c r="J2" s="4604"/>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Cypress Reserve</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6171</v>
      </c>
      <c r="C39" s="4605" t="str">
        <f>_xlfn.CONCAT('Part VII-Threshold Criteria'!K192," and ",'Part VII-Threshold Criteria'!K193)</f>
        <v>Building and Covered Porch</v>
      </c>
      <c r="D39" s="4605"/>
      <c r="E39" s="4605"/>
      <c r="F39" s="4605"/>
      <c r="G39" s="4605"/>
      <c r="H39" s="4605"/>
      <c r="I39" s="4605"/>
      <c r="J39" s="4605"/>
    </row>
    <row r="40" spans="1:10" ht="25.5" customHeight="1">
      <c r="A40" s="787" t="s">
        <v>6172</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Equipped playground, (Select an amenity from options provided here),   , ,   , and  </v>
      </c>
      <c r="D40" s="4605"/>
      <c r="E40" s="4605"/>
      <c r="F40" s="4605"/>
      <c r="G40" s="4605"/>
      <c r="H40" s="4605"/>
      <c r="I40" s="4605"/>
      <c r="J40" s="4605"/>
    </row>
    <row r="41" spans="1:10" ht="3" customHeight="1">
      <c r="G41" s="711"/>
      <c r="H41" s="711"/>
      <c r="I41" s="711"/>
    </row>
    <row r="42" spans="1:10" ht="25.5" customHeight="1">
      <c r="A42" s="787" t="s">
        <v>2800</v>
      </c>
      <c r="C42" s="4606" t="s">
        <v>3112</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Cook</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3113</v>
      </c>
      <c r="E53" s="4596"/>
      <c r="F53" s="4596"/>
      <c r="G53" s="4596"/>
      <c r="H53" s="4596"/>
      <c r="I53" s="4596"/>
      <c r="J53" s="4596"/>
    </row>
    <row r="54" spans="1:10" ht="12" customHeight="1">
      <c r="A54" s="787"/>
      <c r="B54" s="787"/>
      <c r="C54" s="787"/>
      <c r="D54" s="791" t="s">
        <v>3114</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8966590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120</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6173</v>
      </c>
      <c r="G84" s="711"/>
    </row>
    <row r="85" spans="1:9" ht="3" customHeight="1">
      <c r="G85" s="711"/>
      <c r="H85" s="711"/>
      <c r="I85" s="711"/>
    </row>
    <row r="86" spans="1:9" ht="12" customHeight="1">
      <c r="A86" s="774" t="s">
        <v>2827</v>
      </c>
      <c r="C86" s="2001">
        <f>'Subsidy Layering Memo'!L70</f>
        <v>-780271.44960596901</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Central Bank of Kansas City</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Central Bank of Kansas City (CDFI CMF)</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6176</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643185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2"/>
      <c r="F166" s="4592"/>
      <c r="G166" s="4592"/>
      <c r="I166" s="711"/>
    </row>
    <row r="167" spans="1:13" ht="3" customHeight="1">
      <c r="E167" s="711"/>
      <c r="G167" s="711"/>
      <c r="I167" s="711"/>
    </row>
    <row r="168" spans="1:13" ht="12" customHeight="1">
      <c r="A168" s="774" t="s">
        <v>2868</v>
      </c>
      <c r="C168" s="774" t="s">
        <v>2869</v>
      </c>
      <c r="E168" s="813">
        <f>'Preview term'!F73</f>
        <v>146406</v>
      </c>
      <c r="G168" s="711"/>
      <c r="I168" s="711"/>
    </row>
    <row r="169" spans="1:13" ht="12" customHeight="1">
      <c r="C169" s="774" t="s">
        <v>3119</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12500</v>
      </c>
      <c r="F174" s="780" t="s">
        <v>2873</v>
      </c>
      <c r="J174" s="810"/>
      <c r="K174" s="810"/>
      <c r="L174" s="810"/>
      <c r="M174" s="810"/>
    </row>
    <row r="175" spans="1:13">
      <c r="E175" s="813">
        <f>E174/12</f>
        <v>1041.6666666666667</v>
      </c>
      <c r="F175" s="711" t="s">
        <v>2738</v>
      </c>
    </row>
    <row r="176" spans="1:13" ht="12" customHeight="1">
      <c r="C176" s="774" t="s">
        <v>3120</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56128</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3123</v>
      </c>
      <c r="B199" s="787"/>
      <c r="C199" s="787"/>
      <c r="D199" s="787"/>
      <c r="E199" s="791" t="s">
        <v>3122</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5">
      <c r="A204" s="669" t="s">
        <v>6160</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6163</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23" t="str">
        <f>'Part I-Project Identification'!F29</f>
        <v>Cypress Reserve</v>
      </c>
      <c r="E3" s="4624"/>
      <c r="F3" s="4624"/>
      <c r="G3" s="4624"/>
      <c r="H3" s="4624"/>
      <c r="I3" s="4624"/>
      <c r="J3" s="4625" t="s">
        <v>6177</v>
      </c>
      <c r="K3" s="4626"/>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2011">
        <v>1</v>
      </c>
      <c r="D8" s="1718" t="s">
        <v>3977</v>
      </c>
      <c r="E8" s="1718"/>
      <c r="F8" s="1718"/>
      <c r="G8" s="1718"/>
      <c r="H8" s="1718"/>
      <c r="I8" s="1718"/>
      <c r="J8" s="4613"/>
      <c r="K8" s="4614"/>
    </row>
    <row r="9" spans="1:11" ht="7.1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2011">
        <v>2</v>
      </c>
      <c r="D11" s="1718" t="s">
        <v>3979</v>
      </c>
      <c r="E11" s="1720"/>
      <c r="F11" s="1720"/>
      <c r="G11" s="1720"/>
      <c r="H11" s="1720"/>
      <c r="I11" s="1720"/>
      <c r="J11" s="4611"/>
      <c r="K11" s="4612"/>
    </row>
    <row r="12" spans="1:11" ht="7.15" customHeight="1">
      <c r="A12" s="4618"/>
      <c r="B12" s="4618"/>
      <c r="C12" s="4618"/>
      <c r="D12" s="4619"/>
      <c r="E12" s="4619"/>
      <c r="F12" s="4619"/>
      <c r="G12" s="4619"/>
      <c r="H12" s="4619"/>
      <c r="I12" s="4619"/>
      <c r="J12" s="4619"/>
      <c r="K12" s="1993"/>
    </row>
    <row r="13" spans="1:11">
      <c r="A13" s="4620" t="s">
        <v>3980</v>
      </c>
      <c r="B13" s="4621"/>
      <c r="C13" s="4621"/>
      <c r="D13" s="4621"/>
      <c r="E13" s="4621"/>
      <c r="F13" s="4621"/>
      <c r="G13" s="4621"/>
      <c r="H13" s="4621"/>
      <c r="I13" s="4621"/>
      <c r="J13" s="4621"/>
      <c r="K13" s="4622"/>
    </row>
    <row r="14" spans="1:11" ht="14.25" customHeight="1">
      <c r="A14" s="1697"/>
      <c r="B14" s="1697"/>
      <c r="C14" s="2012">
        <v>3</v>
      </c>
      <c r="D14" s="1722" t="s">
        <v>3981</v>
      </c>
      <c r="E14" s="1722"/>
      <c r="F14" s="1722"/>
      <c r="G14" s="1722"/>
      <c r="H14" s="1722"/>
      <c r="I14" s="1722"/>
      <c r="J14" s="4609"/>
      <c r="K14" s="4610"/>
    </row>
    <row r="15" spans="1:11" ht="14.25" customHeight="1">
      <c r="A15" s="1697"/>
      <c r="B15" s="1697"/>
      <c r="C15" s="2013">
        <v>4</v>
      </c>
      <c r="D15" s="1697" t="s">
        <v>3982</v>
      </c>
      <c r="E15" s="1697"/>
      <c r="F15" s="1697"/>
      <c r="G15" s="1697"/>
      <c r="H15" s="1697"/>
      <c r="I15" s="1697"/>
      <c r="J15" s="4607"/>
      <c r="K15" s="4608"/>
    </row>
    <row r="16" spans="1:11" ht="14.25" customHeight="1">
      <c r="A16" s="1697"/>
      <c r="B16" s="1697"/>
      <c r="C16" s="2013">
        <v>5</v>
      </c>
      <c r="D16" s="1697" t="s">
        <v>3983</v>
      </c>
      <c r="E16" s="1697"/>
      <c r="F16" s="1697"/>
      <c r="G16" s="1697"/>
      <c r="H16" s="1697"/>
      <c r="I16" s="1697"/>
      <c r="J16" s="4607"/>
      <c r="K16" s="4608"/>
    </row>
    <row r="17" spans="1:13" ht="14.25" customHeight="1">
      <c r="A17" s="1717"/>
      <c r="B17" s="1717"/>
      <c r="C17" s="2014">
        <v>6</v>
      </c>
      <c r="D17" s="1700" t="s">
        <v>3984</v>
      </c>
      <c r="E17" s="1700"/>
      <c r="F17" s="1700"/>
      <c r="G17" s="1700"/>
      <c r="H17" s="1700"/>
      <c r="I17" s="1700"/>
      <c r="J17" s="4688"/>
      <c r="K17" s="4689"/>
    </row>
    <row r="18" spans="1:13" ht="7.15" customHeight="1">
      <c r="A18" s="4618"/>
      <c r="B18" s="4618"/>
      <c r="C18" s="4618"/>
      <c r="D18" s="4619"/>
      <c r="E18" s="4619"/>
      <c r="F18" s="4619"/>
      <c r="G18" s="4619"/>
      <c r="H18" s="4619"/>
      <c r="I18" s="4619"/>
      <c r="J18" s="4619"/>
      <c r="K18" s="1993"/>
    </row>
    <row r="19" spans="1:13" ht="14.25" customHeight="1">
      <c r="A19" s="1697"/>
      <c r="B19" s="1697"/>
      <c r="C19" s="2012">
        <v>7</v>
      </c>
      <c r="D19" s="1722" t="s">
        <v>3985</v>
      </c>
      <c r="E19" s="1722"/>
      <c r="F19" s="1722"/>
      <c r="G19" s="1722"/>
      <c r="H19" s="1722"/>
      <c r="I19" s="1722"/>
      <c r="J19" s="4686" t="str">
        <f>IF(J17="No",J14-J15,IF(J17="Yes",J14-J15-J16,"Error"))</f>
        <v>Error</v>
      </c>
      <c r="K19" s="4687"/>
    </row>
    <row r="20" spans="1:13" ht="14.25" customHeight="1">
      <c r="A20" s="1717"/>
      <c r="B20" s="1717"/>
      <c r="C20" s="2014">
        <v>8</v>
      </c>
      <c r="D20" s="1700" t="s">
        <v>3986</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993"/>
    </row>
    <row r="22" spans="1:13" ht="14.25" customHeight="1" thickBot="1">
      <c r="A22" s="1697"/>
      <c r="B22" s="1697"/>
      <c r="C22" s="2011">
        <v>9</v>
      </c>
      <c r="D22" s="1723" t="s">
        <v>3987</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43" t="s">
        <v>6177</v>
      </c>
      <c r="C31" s="4643"/>
      <c r="D31" s="4643"/>
      <c r="E31" s="4643"/>
      <c r="F31" s="4643"/>
      <c r="G31" s="4644" t="s">
        <v>3989</v>
      </c>
      <c r="H31" s="4645"/>
      <c r="I31" s="4645"/>
      <c r="J31" s="4645"/>
      <c r="K31" s="4646"/>
    </row>
    <row r="32" spans="1:13" ht="56.25" customHeight="1">
      <c r="A32" s="1992"/>
      <c r="B32" s="1735" t="s">
        <v>4017</v>
      </c>
      <c r="C32" s="1736" t="s">
        <v>4013</v>
      </c>
      <c r="D32" s="1736" t="s">
        <v>4012</v>
      </c>
      <c r="E32" s="4647" t="s">
        <v>6102</v>
      </c>
      <c r="F32" s="4648"/>
      <c r="G32" s="1737" t="s">
        <v>3990</v>
      </c>
      <c r="H32" s="1737" t="s">
        <v>3991</v>
      </c>
      <c r="J32" s="1737" t="s">
        <v>3992</v>
      </c>
      <c r="K32" s="1737" t="s">
        <v>3993</v>
      </c>
      <c r="L32" s="4635" t="s">
        <v>3994</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990"/>
      <c r="C53" s="4654" t="s">
        <v>3997</v>
      </c>
      <c r="D53" s="4654"/>
      <c r="E53" s="4654"/>
      <c r="F53" s="4654"/>
      <c r="G53" s="4654"/>
      <c r="H53" s="4654"/>
      <c r="I53" s="4654"/>
      <c r="J53" s="4655"/>
      <c r="K53" s="1730" t="str">
        <f>IF(J17="no",0,IF(J17="yes",J16,"Error"))</f>
        <v>Error</v>
      </c>
      <c r="L53" s="4635"/>
      <c r="M53" s="4635"/>
    </row>
    <row r="54" spans="1:13" ht="15" customHeight="1" thickBot="1">
      <c r="A54" s="1715"/>
      <c r="B54" s="1990"/>
      <c r="C54" s="4656" t="s">
        <v>3998</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6067</v>
      </c>
      <c r="E57" s="4660" t="s">
        <v>4016</v>
      </c>
      <c r="F57" s="4661"/>
      <c r="G57" s="4662" t="s">
        <v>4001</v>
      </c>
      <c r="H57" s="4663"/>
      <c r="I57" s="4660" t="s">
        <v>4015</v>
      </c>
      <c r="J57" s="4661"/>
      <c r="K57" s="4664"/>
    </row>
    <row r="58" spans="1:13" ht="15" customHeight="1">
      <c r="A58" s="1991"/>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991"/>
      <c r="B59" s="1887"/>
      <c r="C59" s="1726">
        <f>SUMIF(C33:C51, "1", H33:H51)</f>
        <v>0</v>
      </c>
      <c r="D59" s="1892">
        <f t="shared" si="4"/>
        <v>0</v>
      </c>
      <c r="E59" s="4671" t="s">
        <v>2463</v>
      </c>
      <c r="F59" s="4672"/>
      <c r="G59" s="4673">
        <v>175752</v>
      </c>
      <c r="H59" s="4674"/>
      <c r="I59" s="4675">
        <f t="shared" si="5"/>
        <v>0</v>
      </c>
      <c r="J59" s="4675"/>
      <c r="K59" s="4665"/>
    </row>
    <row r="60" spans="1:13" ht="15" customHeight="1">
      <c r="A60" s="1991"/>
      <c r="B60" s="1887"/>
      <c r="C60" s="1726">
        <f>SUMIF(C33:C51, "2", H33:H51)</f>
        <v>0</v>
      </c>
      <c r="D60" s="1892">
        <f t="shared" si="4"/>
        <v>0</v>
      </c>
      <c r="E60" s="4671" t="s">
        <v>2464</v>
      </c>
      <c r="F60" s="4672"/>
      <c r="G60" s="4673">
        <v>213717.6</v>
      </c>
      <c r="H60" s="4674"/>
      <c r="I60" s="4675">
        <f t="shared" si="5"/>
        <v>0</v>
      </c>
      <c r="J60" s="4675"/>
      <c r="K60" s="4665"/>
    </row>
    <row r="61" spans="1:13">
      <c r="A61" s="1991"/>
      <c r="B61" s="1887"/>
      <c r="C61" s="1726">
        <f>SUMIF(C33:C51, "3", H33:H51)</f>
        <v>0</v>
      </c>
      <c r="D61" s="1892">
        <f t="shared" si="4"/>
        <v>0</v>
      </c>
      <c r="E61" s="4671" t="s">
        <v>2467</v>
      </c>
      <c r="F61" s="4672"/>
      <c r="G61" s="4673">
        <v>276482.40000000002</v>
      </c>
      <c r="H61" s="4674"/>
      <c r="I61" s="4675">
        <f t="shared" si="5"/>
        <v>0</v>
      </c>
      <c r="J61" s="4675"/>
      <c r="K61" s="4665"/>
    </row>
    <row r="62" spans="1:13">
      <c r="A62" s="1991"/>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23" t="str">
        <f>'Part I-Project Identification'!F29</f>
        <v>Cypress Reserve</v>
      </c>
      <c r="E3" s="4624"/>
      <c r="F3" s="4624"/>
      <c r="G3" s="4624"/>
      <c r="H3" s="4624"/>
      <c r="I3" s="4624"/>
      <c r="J3" s="4690" t="s">
        <v>3975</v>
      </c>
      <c r="K3" s="4691"/>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1731">
        <v>1</v>
      </c>
      <c r="D8" s="1718" t="s">
        <v>3977</v>
      </c>
      <c r="E8" s="1718"/>
      <c r="F8" s="1718"/>
      <c r="G8" s="1718"/>
      <c r="H8" s="1718"/>
      <c r="I8" s="1718"/>
      <c r="J8" s="4705"/>
      <c r="K8" s="4706"/>
    </row>
    <row r="9" spans="1:11" ht="7.1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1731">
        <v>2</v>
      </c>
      <c r="D11" s="1718" t="s">
        <v>3979</v>
      </c>
      <c r="E11" s="1720"/>
      <c r="F11" s="1720"/>
      <c r="G11" s="1720"/>
      <c r="H11" s="1720"/>
      <c r="I11" s="1720"/>
      <c r="J11" s="4703"/>
      <c r="K11" s="4704"/>
    </row>
    <row r="12" spans="1:11" ht="7.15" customHeight="1">
      <c r="A12" s="4618"/>
      <c r="B12" s="4618"/>
      <c r="C12" s="4618"/>
      <c r="D12" s="4619"/>
      <c r="E12" s="4619"/>
      <c r="F12" s="4619"/>
      <c r="G12" s="4619"/>
      <c r="H12" s="4619"/>
      <c r="I12" s="4619"/>
      <c r="J12" s="4619"/>
      <c r="K12" s="1721"/>
    </row>
    <row r="13" spans="1:11">
      <c r="A13" s="4620" t="s">
        <v>3980</v>
      </c>
      <c r="B13" s="4621"/>
      <c r="C13" s="4621"/>
      <c r="D13" s="4621"/>
      <c r="E13" s="4621"/>
      <c r="F13" s="4621"/>
      <c r="G13" s="4621"/>
      <c r="H13" s="4621"/>
      <c r="I13" s="4621"/>
      <c r="J13" s="4621"/>
      <c r="K13" s="4622"/>
    </row>
    <row r="14" spans="1:11" ht="14.25" customHeight="1">
      <c r="A14" s="1697"/>
      <c r="B14" s="1697"/>
      <c r="C14" s="1732">
        <v>3</v>
      </c>
      <c r="D14" s="1722" t="s">
        <v>3981</v>
      </c>
      <c r="E14" s="1722"/>
      <c r="F14" s="1722"/>
      <c r="G14" s="1722"/>
      <c r="H14" s="1722"/>
      <c r="I14" s="1722"/>
      <c r="J14" s="4701"/>
      <c r="K14" s="4702"/>
    </row>
    <row r="15" spans="1:11" ht="14.25" customHeight="1">
      <c r="A15" s="1697"/>
      <c r="B15" s="1697"/>
      <c r="C15" s="1733">
        <v>4</v>
      </c>
      <c r="D15" s="1697" t="s">
        <v>3982</v>
      </c>
      <c r="E15" s="1697"/>
      <c r="F15" s="1697"/>
      <c r="G15" s="1697"/>
      <c r="H15" s="1697"/>
      <c r="I15" s="1697"/>
      <c r="J15" s="4699"/>
      <c r="K15" s="4700"/>
    </row>
    <row r="16" spans="1:11" ht="14.25" customHeight="1">
      <c r="A16" s="1697"/>
      <c r="B16" s="1697"/>
      <c r="C16" s="1733">
        <v>5</v>
      </c>
      <c r="D16" s="1697" t="s">
        <v>3983</v>
      </c>
      <c r="E16" s="1697"/>
      <c r="F16" s="1697"/>
      <c r="G16" s="1697"/>
      <c r="H16" s="1697"/>
      <c r="I16" s="1697"/>
      <c r="J16" s="4699"/>
      <c r="K16" s="4700"/>
    </row>
    <row r="17" spans="1:13" ht="14.25" customHeight="1">
      <c r="A17" s="1717"/>
      <c r="B17" s="1717"/>
      <c r="C17" s="1734">
        <v>6</v>
      </c>
      <c r="D17" s="1700" t="s">
        <v>3984</v>
      </c>
      <c r="E17" s="1700"/>
      <c r="F17" s="1700"/>
      <c r="G17" s="1700"/>
      <c r="H17" s="1700"/>
      <c r="I17" s="1700"/>
      <c r="J17" s="4707"/>
      <c r="K17" s="4708"/>
    </row>
    <row r="18" spans="1:13" ht="7.15" customHeight="1">
      <c r="A18" s="4618"/>
      <c r="B18" s="4618"/>
      <c r="C18" s="4618"/>
      <c r="D18" s="4619"/>
      <c r="E18" s="4619"/>
      <c r="F18" s="4619"/>
      <c r="G18" s="4619"/>
      <c r="H18" s="4619"/>
      <c r="I18" s="4619"/>
      <c r="J18" s="4619"/>
      <c r="K18" s="1721"/>
    </row>
    <row r="19" spans="1:13" ht="14.25" customHeight="1">
      <c r="A19" s="1697"/>
      <c r="B19" s="1697"/>
      <c r="C19" s="1732">
        <v>7</v>
      </c>
      <c r="D19" s="1722" t="s">
        <v>3985</v>
      </c>
      <c r="E19" s="1722"/>
      <c r="F19" s="1722"/>
      <c r="G19" s="1722"/>
      <c r="H19" s="1722"/>
      <c r="I19" s="1722"/>
      <c r="J19" s="4686" t="str">
        <f>IF(J17="No",J14-J15,IF(J17="Yes",J14-J15-J16,"Error"))</f>
        <v>Error</v>
      </c>
      <c r="K19" s="4687"/>
    </row>
    <row r="20" spans="1:13" ht="14.25" customHeight="1">
      <c r="A20" s="1717"/>
      <c r="B20" s="1717"/>
      <c r="C20" s="1734">
        <v>8</v>
      </c>
      <c r="D20" s="1700" t="s">
        <v>3986</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721"/>
    </row>
    <row r="22" spans="1:13" ht="14.25" customHeight="1" thickBot="1">
      <c r="A22" s="1697"/>
      <c r="B22" s="1697"/>
      <c r="C22" s="1731">
        <v>9</v>
      </c>
      <c r="D22" s="1723" t="s">
        <v>3987</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96" t="s">
        <v>3975</v>
      </c>
      <c r="C31" s="4696"/>
      <c r="D31" s="4696"/>
      <c r="E31" s="4696"/>
      <c r="F31" s="4696"/>
      <c r="G31" s="4644" t="s">
        <v>3989</v>
      </c>
      <c r="H31" s="4645"/>
      <c r="I31" s="4645"/>
      <c r="J31" s="4645"/>
      <c r="K31" s="4646"/>
    </row>
    <row r="32" spans="1:13" ht="56.25" customHeight="1">
      <c r="A32" s="1716"/>
      <c r="B32" s="1735" t="s">
        <v>4017</v>
      </c>
      <c r="C32" s="1736" t="s">
        <v>4013</v>
      </c>
      <c r="D32" s="1736" t="s">
        <v>4012</v>
      </c>
      <c r="E32" s="4647" t="s">
        <v>6102</v>
      </c>
      <c r="F32" s="4648"/>
      <c r="G32" s="1737" t="s">
        <v>3990</v>
      </c>
      <c r="H32" s="1737" t="s">
        <v>3991</v>
      </c>
      <c r="J32" s="1737" t="s">
        <v>3992</v>
      </c>
      <c r="K32" s="1737" t="s">
        <v>3993</v>
      </c>
      <c r="L32" s="4635" t="s">
        <v>3994</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729"/>
      <c r="C53" s="4654" t="s">
        <v>3997</v>
      </c>
      <c r="D53" s="4654"/>
      <c r="E53" s="4654"/>
      <c r="F53" s="4654"/>
      <c r="G53" s="4654"/>
      <c r="H53" s="4654"/>
      <c r="I53" s="4654"/>
      <c r="J53" s="4655"/>
      <c r="K53" s="1730" t="str">
        <f>IF(J17="no",0,IF(J17="yes",J16,"Error"))</f>
        <v>Error</v>
      </c>
      <c r="L53" s="4635"/>
      <c r="M53" s="4635"/>
    </row>
    <row r="54" spans="1:13" ht="15" customHeight="1" thickBot="1">
      <c r="A54" s="1715"/>
      <c r="B54" s="1729"/>
      <c r="C54" s="4656" t="s">
        <v>3998</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6067</v>
      </c>
      <c r="E57" s="4660" t="s">
        <v>4016</v>
      </c>
      <c r="F57" s="4661"/>
      <c r="G57" s="4662" t="s">
        <v>4001</v>
      </c>
      <c r="H57" s="4663"/>
      <c r="I57" s="4660" t="s">
        <v>4015</v>
      </c>
      <c r="J57" s="4661"/>
      <c r="K57" s="4664"/>
    </row>
    <row r="58" spans="1:13" ht="15" customHeight="1">
      <c r="A58" s="1867"/>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867"/>
      <c r="B59" s="1887"/>
      <c r="C59" s="1726">
        <f>SUMIF(C33:C51, "1", H33:H51)</f>
        <v>0</v>
      </c>
      <c r="D59" s="1892">
        <f t="shared" si="4"/>
        <v>0</v>
      </c>
      <c r="E59" s="4671" t="s">
        <v>2463</v>
      </c>
      <c r="F59" s="4672"/>
      <c r="G59" s="4673">
        <v>175752</v>
      </c>
      <c r="H59" s="4674"/>
      <c r="I59" s="4675">
        <f t="shared" si="5"/>
        <v>0</v>
      </c>
      <c r="J59" s="4675"/>
      <c r="K59" s="4665"/>
    </row>
    <row r="60" spans="1:13" ht="15" customHeight="1">
      <c r="A60" s="1867"/>
      <c r="B60" s="1887"/>
      <c r="C60" s="1726">
        <f>SUMIF(C33:C51, "2", H33:H51)</f>
        <v>0</v>
      </c>
      <c r="D60" s="1892">
        <f t="shared" si="4"/>
        <v>0</v>
      </c>
      <c r="E60" s="4671" t="s">
        <v>2464</v>
      </c>
      <c r="F60" s="4672"/>
      <c r="G60" s="4673">
        <v>213717.6</v>
      </c>
      <c r="H60" s="4674"/>
      <c r="I60" s="4675">
        <f t="shared" si="5"/>
        <v>0</v>
      </c>
      <c r="J60" s="4675"/>
      <c r="K60" s="4665"/>
    </row>
    <row r="61" spans="1:13">
      <c r="A61" s="1867"/>
      <c r="B61" s="1887"/>
      <c r="C61" s="1726">
        <f>SUMIF(C33:C51, "3", H33:H51)</f>
        <v>0</v>
      </c>
      <c r="D61" s="1892">
        <f t="shared" si="4"/>
        <v>0</v>
      </c>
      <c r="E61" s="4671" t="s">
        <v>2467</v>
      </c>
      <c r="F61" s="4672"/>
      <c r="G61" s="4673">
        <v>276482.40000000002</v>
      </c>
      <c r="H61" s="4674"/>
      <c r="I61" s="4675">
        <f t="shared" si="5"/>
        <v>0</v>
      </c>
      <c r="J61" s="4675"/>
      <c r="K61" s="4665"/>
    </row>
    <row r="62" spans="1:13">
      <c r="A62" s="1867"/>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Cypress Reserve</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27684.891000000003</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12833120</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4085</v>
      </c>
      <c r="B23" s="4716"/>
      <c r="C23" s="4716"/>
      <c r="D23" s="4716"/>
      <c r="E23" s="4716"/>
      <c r="F23" s="4716"/>
      <c r="G23" s="4716"/>
      <c r="H23" s="4716"/>
    </row>
    <row r="24" spans="1:8" ht="9" customHeight="1" thickBot="1">
      <c r="A24" s="777"/>
    </row>
    <row r="25" spans="1:8" ht="16.149999999999999" customHeight="1" thickBot="1">
      <c r="A25" s="4717">
        <v>20</v>
      </c>
      <c r="B25" s="4718"/>
      <c r="C25" s="1851" t="s">
        <v>976</v>
      </c>
    </row>
    <row r="26" spans="1:8" ht="9" customHeight="1">
      <c r="A26" s="777"/>
    </row>
    <row r="27" spans="1:8" ht="28.15" customHeight="1">
      <c r="A27" s="4715" t="s">
        <v>4090</v>
      </c>
      <c r="B27" s="4715"/>
      <c r="C27" s="4715"/>
      <c r="D27" s="4715"/>
      <c r="E27" s="4715"/>
      <c r="F27" s="4715"/>
      <c r="G27" s="4715"/>
      <c r="H27" s="4715"/>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4088</v>
      </c>
      <c r="E33" s="4709" t="s">
        <v>3125</v>
      </c>
      <c r="F33" s="4709"/>
      <c r="G33" s="4709"/>
      <c r="H33" s="4709"/>
    </row>
    <row r="34" spans="1:11" ht="12.75" customHeight="1">
      <c r="C34" s="1850"/>
      <c r="D34" s="1848" t="s">
        <v>2986</v>
      </c>
      <c r="E34" s="4711" t="s">
        <v>3126</v>
      </c>
      <c r="F34" s="4711"/>
      <c r="G34" s="4711"/>
      <c r="H34" s="4711"/>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4088</v>
      </c>
      <c r="E38" s="4709" t="s">
        <v>3125</v>
      </c>
      <c r="F38" s="4709"/>
      <c r="G38" s="4709"/>
      <c r="H38" s="4709"/>
    </row>
    <row r="39" spans="1:11" ht="12.75" customHeight="1">
      <c r="C39" s="1850"/>
      <c r="D39" s="1848" t="s">
        <v>2986</v>
      </c>
      <c r="E39" s="4711" t="s">
        <v>3126</v>
      </c>
      <c r="F39" s="4711"/>
      <c r="G39" s="4711"/>
      <c r="H39" s="4711"/>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4088</v>
      </c>
      <c r="E43" s="4709" t="s">
        <v>3125</v>
      </c>
      <c r="F43" s="4709"/>
      <c r="G43" s="4709"/>
      <c r="H43" s="4709"/>
    </row>
    <row r="44" spans="1:11" ht="12.75" customHeight="1">
      <c r="C44" s="1850"/>
      <c r="D44" s="1848" t="s">
        <v>2986</v>
      </c>
      <c r="E44" s="4711" t="s">
        <v>3126</v>
      </c>
      <c r="F44" s="4711"/>
      <c r="G44" s="4711"/>
      <c r="H44" s="4711"/>
    </row>
    <row r="45" spans="1:11" ht="6" customHeight="1">
      <c r="D45" s="821"/>
      <c r="E45" s="1846"/>
      <c r="F45" s="1846"/>
      <c r="G45" s="1846"/>
      <c r="H45" s="1846"/>
    </row>
    <row r="46" spans="1:11">
      <c r="A46" s="792" t="s">
        <v>2982</v>
      </c>
      <c r="B46" s="819" t="str">
        <f>IF('Part V-Revenues &amp; Expenses'!$L$62=0,"",'Part V-Revenues &amp; Expenses'!$L$62)</f>
        <v/>
      </c>
      <c r="C46" s="792" t="s">
        <v>2983</v>
      </c>
      <c r="D46" s="820" t="s">
        <v>3127</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4088</v>
      </c>
      <c r="E50" s="4709" t="s">
        <v>3125</v>
      </c>
      <c r="F50" s="4709"/>
      <c r="G50" s="4709"/>
      <c r="H50" s="4709"/>
    </row>
    <row r="51" spans="1:11" ht="12.75" customHeight="1">
      <c r="C51" s="1850"/>
      <c r="D51" s="1847" t="s">
        <v>2986</v>
      </c>
      <c r="E51" s="4710" t="s">
        <v>3126</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4088</v>
      </c>
      <c r="E55" s="4709" t="s">
        <v>3125</v>
      </c>
      <c r="F55" s="4709"/>
      <c r="G55" s="4709"/>
      <c r="H55" s="4709"/>
    </row>
    <row r="56" spans="1:11" ht="12.75" customHeight="1">
      <c r="C56" s="1850"/>
      <c r="D56" s="1848" t="s">
        <v>2986</v>
      </c>
      <c r="E56" s="4711" t="s">
        <v>3126</v>
      </c>
      <c r="F56" s="4711"/>
      <c r="G56" s="4711"/>
      <c r="H56" s="4711"/>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4088</v>
      </c>
      <c r="E60" s="4709" t="s">
        <v>3125</v>
      </c>
      <c r="F60" s="4709"/>
      <c r="G60" s="4709"/>
      <c r="H60" s="4709"/>
    </row>
    <row r="61" spans="1:11" ht="12.75" customHeight="1">
      <c r="C61" s="1850"/>
      <c r="D61" s="1848" t="s">
        <v>2986</v>
      </c>
      <c r="E61" s="4711" t="s">
        <v>3126</v>
      </c>
      <c r="F61" s="4711"/>
      <c r="G61" s="4711"/>
      <c r="H61" s="4711"/>
    </row>
    <row r="62" spans="1:11" ht="6" customHeight="1">
      <c r="D62" s="821"/>
      <c r="E62" s="1300"/>
      <c r="F62" s="1300"/>
      <c r="G62" s="1300"/>
      <c r="H62" s="1300"/>
    </row>
    <row r="63" spans="1:11">
      <c r="A63" s="792" t="s">
        <v>2982</v>
      </c>
      <c r="B63" s="819" t="str">
        <f>IF('Part V-Revenues &amp; Expenses'!$M$62=0,"",'Part V-Revenues &amp; Expenses'!$M$62)</f>
        <v/>
      </c>
      <c r="C63" s="792" t="s">
        <v>2984</v>
      </c>
      <c r="D63" s="820" t="s">
        <v>3128</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4088</v>
      </c>
      <c r="E67" s="4709" t="s">
        <v>3125</v>
      </c>
      <c r="F67" s="4709"/>
      <c r="G67" s="4709"/>
      <c r="H67" s="4709"/>
    </row>
    <row r="68" spans="1:8" ht="12.75" customHeight="1">
      <c r="C68" s="1850"/>
      <c r="D68" s="1847" t="s">
        <v>2986</v>
      </c>
      <c r="E68" s="4710" t="s">
        <v>3126</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4088</v>
      </c>
      <c r="E72" s="4709" t="s">
        <v>3125</v>
      </c>
      <c r="F72" s="4709"/>
      <c r="G72" s="4709"/>
      <c r="H72" s="4709"/>
    </row>
    <row r="73" spans="1:8" ht="12.75" customHeight="1">
      <c r="C73" s="1850"/>
      <c r="D73" s="1848" t="s">
        <v>2986</v>
      </c>
      <c r="E73" s="4711" t="s">
        <v>3126</v>
      </c>
      <c r="F73" s="4711"/>
      <c r="G73" s="4711"/>
      <c r="H73" s="4711"/>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4088</v>
      </c>
      <c r="E77" s="4709" t="s">
        <v>3125</v>
      </c>
      <c r="F77" s="4709"/>
      <c r="G77" s="4709"/>
      <c r="H77" s="4709"/>
    </row>
    <row r="78" spans="1:8" ht="12.75" customHeight="1">
      <c r="C78" s="1850"/>
      <c r="D78" s="1848" t="s">
        <v>2986</v>
      </c>
      <c r="E78" s="4711" t="s">
        <v>3126</v>
      </c>
      <c r="F78" s="4711"/>
      <c r="G78" s="4711"/>
      <c r="H78" s="4711"/>
    </row>
    <row r="79" spans="1:8" ht="6" customHeight="1">
      <c r="D79" s="821"/>
      <c r="E79" s="1846"/>
      <c r="F79" s="1846"/>
      <c r="G79" s="1846"/>
      <c r="H79" s="1846"/>
    </row>
    <row r="80" spans="1:8">
      <c r="A80" s="792" t="s">
        <v>2982</v>
      </c>
      <c r="B80" s="819" t="str">
        <f>IF('Part V-Revenues &amp; Expenses'!$N$62=0,"",'Part V-Revenues &amp; Expenses'!$N$62)</f>
        <v/>
      </c>
      <c r="C80" s="792" t="s">
        <v>2985</v>
      </c>
      <c r="D80" s="820" t="s">
        <v>3129</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4088</v>
      </c>
      <c r="E84" s="4709" t="s">
        <v>3125</v>
      </c>
      <c r="F84" s="4709"/>
      <c r="G84" s="4709"/>
      <c r="H84" s="4709"/>
    </row>
    <row r="85" spans="3:8" ht="12.75" customHeight="1">
      <c r="C85" s="1850"/>
      <c r="D85" s="1847" t="s">
        <v>2986</v>
      </c>
      <c r="E85" s="4710" t="s">
        <v>3126</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4088</v>
      </c>
      <c r="E89" s="4709" t="s">
        <v>3125</v>
      </c>
      <c r="F89" s="4709"/>
      <c r="G89" s="4709"/>
      <c r="H89" s="4709"/>
    </row>
    <row r="90" spans="3:8" ht="12.75" customHeight="1">
      <c r="C90" s="1850"/>
      <c r="D90" s="1848" t="s">
        <v>2986</v>
      </c>
      <c r="E90" s="4711" t="s">
        <v>3126</v>
      </c>
      <c r="F90" s="4711"/>
      <c r="G90" s="4711"/>
      <c r="H90" s="4711"/>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4088</v>
      </c>
      <c r="E94" s="4709" t="s">
        <v>3125</v>
      </c>
      <c r="F94" s="4709"/>
      <c r="G94" s="4709"/>
      <c r="H94" s="4709"/>
    </row>
    <row r="95" spans="3:8" ht="12.75" customHeight="1">
      <c r="C95" s="1850"/>
      <c r="D95" s="1848" t="s">
        <v>2986</v>
      </c>
      <c r="E95" s="4711" t="s">
        <v>3126</v>
      </c>
      <c r="F95" s="4711"/>
      <c r="G95" s="4711"/>
      <c r="H95" s="4711"/>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3125</v>
      </c>
      <c r="F101" s="4709"/>
      <c r="G101" s="4709"/>
      <c r="H101" s="4709"/>
    </row>
    <row r="102" spans="1:11" ht="12.75" customHeight="1">
      <c r="D102" s="824" t="s">
        <v>2986</v>
      </c>
      <c r="E102" s="4709" t="s">
        <v>3126</v>
      </c>
      <c r="F102" s="4709"/>
      <c r="G102" s="4709"/>
      <c r="H102" s="4709"/>
    </row>
    <row r="103" spans="1:11" ht="9" customHeight="1" thickBot="1"/>
    <row r="104" spans="1:11" ht="16.149999999999999" customHeight="1" thickBot="1">
      <c r="A104" s="4717">
        <v>30</v>
      </c>
      <c r="B104" s="4718"/>
      <c r="C104" s="1851" t="s">
        <v>976</v>
      </c>
    </row>
    <row r="105" spans="1:11" ht="9" customHeight="1">
      <c r="A105" s="777"/>
    </row>
    <row r="106" spans="1:11" ht="28.15" customHeight="1">
      <c r="A106" s="4715" t="s">
        <v>4091</v>
      </c>
      <c r="B106" s="4715"/>
      <c r="C106" s="4715"/>
      <c r="D106" s="4715"/>
      <c r="E106" s="4715"/>
      <c r="F106" s="4715"/>
      <c r="G106" s="4715"/>
      <c r="H106" s="4715"/>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4088</v>
      </c>
      <c r="E112" s="4709" t="s">
        <v>3125</v>
      </c>
      <c r="F112" s="4709"/>
      <c r="G112" s="4709"/>
      <c r="H112" s="4709"/>
    </row>
    <row r="113" spans="1:8" ht="12.75" customHeight="1">
      <c r="C113" s="1850"/>
      <c r="D113" s="1848" t="s">
        <v>2986</v>
      </c>
      <c r="E113" s="4711" t="s">
        <v>3126</v>
      </c>
      <c r="F113" s="4711"/>
      <c r="G113" s="4711"/>
      <c r="H113" s="4711"/>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4088</v>
      </c>
      <c r="E117" s="4709" t="s">
        <v>3125</v>
      </c>
      <c r="F117" s="4709"/>
      <c r="G117" s="4709"/>
      <c r="H117" s="4709"/>
    </row>
    <row r="118" spans="1:8" ht="12.75" customHeight="1">
      <c r="C118" s="1850"/>
      <c r="D118" s="1848" t="s">
        <v>2986</v>
      </c>
      <c r="E118" s="4711" t="s">
        <v>3126</v>
      </c>
      <c r="F118" s="4711"/>
      <c r="G118" s="4711"/>
      <c r="H118" s="4711"/>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4088</v>
      </c>
      <c r="E122" s="4709" t="s">
        <v>3125</v>
      </c>
      <c r="F122" s="4709"/>
      <c r="G122" s="4709"/>
      <c r="H122" s="4709"/>
    </row>
    <row r="123" spans="1:8" ht="12.75" customHeight="1">
      <c r="C123" s="1850"/>
      <c r="D123" s="1848" t="s">
        <v>2986</v>
      </c>
      <c r="E123" s="4711" t="s">
        <v>3126</v>
      </c>
      <c r="F123" s="4711"/>
      <c r="G123" s="4711"/>
      <c r="H123" s="4711"/>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3127</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4088</v>
      </c>
      <c r="E129" s="4709" t="s">
        <v>3125</v>
      </c>
      <c r="F129" s="4709"/>
      <c r="G129" s="4709"/>
      <c r="H129" s="4709"/>
    </row>
    <row r="130" spans="1:8" ht="12.75" customHeight="1">
      <c r="C130" s="1850"/>
      <c r="D130" s="1847" t="s">
        <v>2986</v>
      </c>
      <c r="E130" s="4710" t="s">
        <v>3126</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4088</v>
      </c>
      <c r="E134" s="4709" t="s">
        <v>3125</v>
      </c>
      <c r="F134" s="4709"/>
      <c r="G134" s="4709"/>
      <c r="H134" s="4709"/>
    </row>
    <row r="135" spans="1:8" ht="12.75" customHeight="1">
      <c r="C135" s="1850"/>
      <c r="D135" s="1848" t="s">
        <v>2986</v>
      </c>
      <c r="E135" s="4711" t="s">
        <v>3126</v>
      </c>
      <c r="F135" s="4711"/>
      <c r="G135" s="4711"/>
      <c r="H135" s="4711"/>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4088</v>
      </c>
      <c r="E139" s="4709" t="s">
        <v>3125</v>
      </c>
      <c r="F139" s="4709"/>
      <c r="G139" s="4709"/>
      <c r="H139" s="4709"/>
    </row>
    <row r="140" spans="1:8" ht="12.75" customHeight="1">
      <c r="C140" s="1850"/>
      <c r="D140" s="1848" t="s">
        <v>2986</v>
      </c>
      <c r="E140" s="4711" t="s">
        <v>3126</v>
      </c>
      <c r="F140" s="4711"/>
      <c r="G140" s="4711"/>
      <c r="H140" s="4711"/>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3128</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4088</v>
      </c>
      <c r="E146" s="4709" t="s">
        <v>3125</v>
      </c>
      <c r="F146" s="4709"/>
      <c r="G146" s="4709"/>
      <c r="H146" s="4709"/>
    </row>
    <row r="147" spans="1:8" ht="12.75" customHeight="1">
      <c r="C147" s="1850"/>
      <c r="D147" s="1847" t="s">
        <v>2986</v>
      </c>
      <c r="E147" s="4710" t="s">
        <v>3126</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4088</v>
      </c>
      <c r="E151" s="4709" t="s">
        <v>3125</v>
      </c>
      <c r="F151" s="4709"/>
      <c r="G151" s="4709"/>
      <c r="H151" s="4709"/>
    </row>
    <row r="152" spans="1:8" ht="12.75" customHeight="1">
      <c r="C152" s="1850"/>
      <c r="D152" s="1848" t="s">
        <v>2986</v>
      </c>
      <c r="E152" s="4711" t="s">
        <v>3126</v>
      </c>
      <c r="F152" s="4711"/>
      <c r="G152" s="4711"/>
      <c r="H152" s="4711"/>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4088</v>
      </c>
      <c r="E156" s="4709" t="s">
        <v>3125</v>
      </c>
      <c r="F156" s="4709"/>
      <c r="G156" s="4709"/>
      <c r="H156" s="4709"/>
    </row>
    <row r="157" spans="1:8" ht="12.75" customHeight="1">
      <c r="C157" s="1850"/>
      <c r="D157" s="1848" t="s">
        <v>2986</v>
      </c>
      <c r="E157" s="4711" t="s">
        <v>3126</v>
      </c>
      <c r="F157" s="4711"/>
      <c r="G157" s="4711"/>
      <c r="H157" s="4711"/>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3129</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4088</v>
      </c>
      <c r="E163" s="4709" t="s">
        <v>3125</v>
      </c>
      <c r="F163" s="4709"/>
      <c r="G163" s="4709"/>
      <c r="H163" s="4709"/>
    </row>
    <row r="164" spans="1:8" ht="12.75" customHeight="1">
      <c r="C164" s="1850"/>
      <c r="D164" s="1847" t="s">
        <v>2986</v>
      </c>
      <c r="E164" s="4710" t="s">
        <v>3126</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4088</v>
      </c>
      <c r="E168" s="4709" t="s">
        <v>3125</v>
      </c>
      <c r="F168" s="4709"/>
      <c r="G168" s="4709"/>
      <c r="H168" s="4709"/>
    </row>
    <row r="169" spans="1:8" ht="12.75" customHeight="1">
      <c r="C169" s="1850"/>
      <c r="D169" s="1848" t="s">
        <v>2986</v>
      </c>
      <c r="E169" s="4711" t="s">
        <v>3126</v>
      </c>
      <c r="F169" s="4711"/>
      <c r="G169" s="4711"/>
      <c r="H169" s="4711"/>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4088</v>
      </c>
      <c r="E173" s="4709" t="s">
        <v>3125</v>
      </c>
      <c r="F173" s="4709"/>
      <c r="G173" s="4709"/>
      <c r="H173" s="4709"/>
    </row>
    <row r="174" spans="1:8" ht="12.75" customHeight="1">
      <c r="C174" s="1850"/>
      <c r="D174" s="1848" t="s">
        <v>2986</v>
      </c>
      <c r="E174" s="4711" t="s">
        <v>3126</v>
      </c>
      <c r="F174" s="4711"/>
      <c r="G174" s="4711"/>
      <c r="H174" s="4711"/>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3125</v>
      </c>
      <c r="F180" s="4709"/>
      <c r="G180" s="4709"/>
      <c r="H180" s="4709"/>
    </row>
    <row r="181" spans="1:11" ht="12.75" customHeight="1">
      <c r="D181" s="824" t="s">
        <v>2986</v>
      </c>
      <c r="E181" s="4709" t="s">
        <v>3126</v>
      </c>
      <c r="F181" s="4709"/>
      <c r="G181" s="4709"/>
      <c r="H181" s="4709"/>
    </row>
    <row r="182" spans="1:11" ht="9" customHeight="1" thickBot="1"/>
    <row r="183" spans="1:11" ht="16.149999999999999" customHeight="1" thickBot="1">
      <c r="A183" s="4717">
        <v>40</v>
      </c>
      <c r="B183" s="4718"/>
      <c r="C183" s="1851" t="s">
        <v>976</v>
      </c>
    </row>
    <row r="184" spans="1:11" ht="9" customHeight="1">
      <c r="A184" s="777"/>
    </row>
    <row r="185" spans="1:11" ht="28.15" customHeight="1">
      <c r="A185" s="4715" t="s">
        <v>4092</v>
      </c>
      <c r="B185" s="4715"/>
      <c r="C185" s="4715"/>
      <c r="D185" s="4715"/>
      <c r="E185" s="4715"/>
      <c r="F185" s="4715"/>
      <c r="G185" s="4715"/>
      <c r="H185" s="4715"/>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4088</v>
      </c>
      <c r="E191" s="4709" t="s">
        <v>3125</v>
      </c>
      <c r="F191" s="4709"/>
      <c r="G191" s="4709"/>
      <c r="H191" s="4709"/>
    </row>
    <row r="192" spans="1:11" ht="12.75" customHeight="1">
      <c r="C192" s="1850"/>
      <c r="D192" s="1848" t="s">
        <v>2986</v>
      </c>
      <c r="E192" s="4711" t="s">
        <v>3126</v>
      </c>
      <c r="F192" s="4711"/>
      <c r="G192" s="4711"/>
      <c r="H192" s="4711"/>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4088</v>
      </c>
      <c r="E196" s="4709" t="s">
        <v>3125</v>
      </c>
      <c r="F196" s="4709"/>
      <c r="G196" s="4709"/>
      <c r="H196" s="4709"/>
    </row>
    <row r="197" spans="1:8" ht="12.75" customHeight="1">
      <c r="C197" s="1850"/>
      <c r="D197" s="1848" t="s">
        <v>2986</v>
      </c>
      <c r="E197" s="4711" t="s">
        <v>3126</v>
      </c>
      <c r="F197" s="4711"/>
      <c r="G197" s="4711"/>
      <c r="H197" s="4711"/>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4088</v>
      </c>
      <c r="E201" s="4709" t="s">
        <v>3125</v>
      </c>
      <c r="F201" s="4709"/>
      <c r="G201" s="4709"/>
      <c r="H201" s="4709"/>
    </row>
    <row r="202" spans="1:8" ht="12.75" customHeight="1">
      <c r="C202" s="1850"/>
      <c r="D202" s="1848" t="s">
        <v>2986</v>
      </c>
      <c r="E202" s="4711" t="s">
        <v>3126</v>
      </c>
      <c r="F202" s="4711"/>
      <c r="G202" s="4711"/>
      <c r="H202" s="4711"/>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3127</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4088</v>
      </c>
      <c r="E208" s="4709" t="s">
        <v>3125</v>
      </c>
      <c r="F208" s="4709"/>
      <c r="G208" s="4709"/>
      <c r="H208" s="4709"/>
    </row>
    <row r="209" spans="1:8" ht="12.75" customHeight="1">
      <c r="C209" s="1850"/>
      <c r="D209" s="1847" t="s">
        <v>2986</v>
      </c>
      <c r="E209" s="4710" t="s">
        <v>3126</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4088</v>
      </c>
      <c r="E213" s="4709" t="s">
        <v>3125</v>
      </c>
      <c r="F213" s="4709"/>
      <c r="G213" s="4709"/>
      <c r="H213" s="4709"/>
    </row>
    <row r="214" spans="1:8" ht="12.75" customHeight="1">
      <c r="C214" s="1850"/>
      <c r="D214" s="1848" t="s">
        <v>2986</v>
      </c>
      <c r="E214" s="4711" t="s">
        <v>3126</v>
      </c>
      <c r="F214" s="4711"/>
      <c r="G214" s="4711"/>
      <c r="H214" s="4711"/>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4088</v>
      </c>
      <c r="E218" s="4709" t="s">
        <v>3125</v>
      </c>
      <c r="F218" s="4709"/>
      <c r="G218" s="4709"/>
      <c r="H218" s="4709"/>
    </row>
    <row r="219" spans="1:8" ht="12.75" customHeight="1">
      <c r="C219" s="1850"/>
      <c r="D219" s="1848" t="s">
        <v>2986</v>
      </c>
      <c r="E219" s="4711" t="s">
        <v>3126</v>
      </c>
      <c r="F219" s="4711"/>
      <c r="G219" s="4711"/>
      <c r="H219" s="4711"/>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3128</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4088</v>
      </c>
      <c r="E225" s="4709" t="s">
        <v>3125</v>
      </c>
      <c r="F225" s="4709"/>
      <c r="G225" s="4709"/>
      <c r="H225" s="4709"/>
    </row>
    <row r="226" spans="1:8" ht="12.75" customHeight="1">
      <c r="C226" s="1850"/>
      <c r="D226" s="1847" t="s">
        <v>2986</v>
      </c>
      <c r="E226" s="4710" t="s">
        <v>3126</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4088</v>
      </c>
      <c r="E230" s="4709" t="s">
        <v>3125</v>
      </c>
      <c r="F230" s="4709"/>
      <c r="G230" s="4709"/>
      <c r="H230" s="4709"/>
    </row>
    <row r="231" spans="1:8" ht="12.75" customHeight="1">
      <c r="C231" s="1850"/>
      <c r="D231" s="1848" t="s">
        <v>2986</v>
      </c>
      <c r="E231" s="4711" t="s">
        <v>3126</v>
      </c>
      <c r="F231" s="4711"/>
      <c r="G231" s="4711"/>
      <c r="H231" s="4711"/>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4088</v>
      </c>
      <c r="E235" s="4709" t="s">
        <v>3125</v>
      </c>
      <c r="F235" s="4709"/>
      <c r="G235" s="4709"/>
      <c r="H235" s="4709"/>
    </row>
    <row r="236" spans="1:8" ht="12.75" customHeight="1">
      <c r="C236" s="1850"/>
      <c r="D236" s="1848" t="s">
        <v>2986</v>
      </c>
      <c r="E236" s="4711" t="s">
        <v>3126</v>
      </c>
      <c r="F236" s="4711"/>
      <c r="G236" s="4711"/>
      <c r="H236" s="4711"/>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3129</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4088</v>
      </c>
      <c r="E242" s="4709" t="s">
        <v>3125</v>
      </c>
      <c r="F242" s="4709"/>
      <c r="G242" s="4709"/>
      <c r="H242" s="4709"/>
    </row>
    <row r="243" spans="1:8" ht="12.75" customHeight="1">
      <c r="C243" s="1850"/>
      <c r="D243" s="1847" t="s">
        <v>2986</v>
      </c>
      <c r="E243" s="4710" t="s">
        <v>3126</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4088</v>
      </c>
      <c r="E247" s="4709" t="s">
        <v>3125</v>
      </c>
      <c r="F247" s="4709"/>
      <c r="G247" s="4709"/>
      <c r="H247" s="4709"/>
    </row>
    <row r="248" spans="1:8" ht="12.75" customHeight="1">
      <c r="C248" s="1850"/>
      <c r="D248" s="1848" t="s">
        <v>2986</v>
      </c>
      <c r="E248" s="4711" t="s">
        <v>3126</v>
      </c>
      <c r="F248" s="4711"/>
      <c r="G248" s="4711"/>
      <c r="H248" s="4711"/>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4088</v>
      </c>
      <c r="E252" s="4709" t="s">
        <v>3125</v>
      </c>
      <c r="F252" s="4709"/>
      <c r="G252" s="4709"/>
      <c r="H252" s="4709"/>
    </row>
    <row r="253" spans="1:8" ht="12.75" customHeight="1">
      <c r="C253" s="1850"/>
      <c r="D253" s="1848" t="s">
        <v>2986</v>
      </c>
      <c r="E253" s="4711" t="s">
        <v>3126</v>
      </c>
      <c r="F253" s="4711"/>
      <c r="G253" s="4711"/>
      <c r="H253" s="4711"/>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3125</v>
      </c>
      <c r="F259" s="4709"/>
      <c r="G259" s="4709"/>
      <c r="H259" s="4709"/>
    </row>
    <row r="260" spans="1:11" ht="12.75" customHeight="1">
      <c r="D260" s="824" t="s">
        <v>2986</v>
      </c>
      <c r="E260" s="4709" t="s">
        <v>3126</v>
      </c>
      <c r="F260" s="4709"/>
      <c r="G260" s="4709"/>
      <c r="H260" s="4709"/>
    </row>
    <row r="261" spans="1:11" ht="9" customHeight="1" thickBot="1"/>
    <row r="262" spans="1:11" ht="16.149999999999999" customHeight="1" thickBot="1">
      <c r="A262" s="4717">
        <v>50</v>
      </c>
      <c r="B262" s="4718"/>
      <c r="C262" s="1851" t="s">
        <v>976</v>
      </c>
    </row>
    <row r="263" spans="1:11" ht="9" customHeight="1">
      <c r="A263" s="777"/>
    </row>
    <row r="264" spans="1:11" ht="28.15" customHeight="1">
      <c r="A264" s="4715" t="s">
        <v>4089</v>
      </c>
      <c r="B264" s="4715"/>
      <c r="C264" s="4715"/>
      <c r="D264" s="4715"/>
      <c r="E264" s="4715"/>
      <c r="F264" s="4715"/>
      <c r="G264" s="4715"/>
      <c r="H264" s="4715"/>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4088</v>
      </c>
      <c r="E270" s="4709" t="s">
        <v>3125</v>
      </c>
      <c r="F270" s="4709"/>
      <c r="G270" s="4709"/>
      <c r="H270" s="4709"/>
    </row>
    <row r="271" spans="1:11" ht="12.75" customHeight="1">
      <c r="C271" s="1850"/>
      <c r="D271" s="1848" t="s">
        <v>2986</v>
      </c>
      <c r="E271" s="4711" t="s">
        <v>3126</v>
      </c>
      <c r="F271" s="4711"/>
      <c r="G271" s="4711"/>
      <c r="H271" s="4711"/>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4088</v>
      </c>
      <c r="E275" s="4709" t="s">
        <v>3125</v>
      </c>
      <c r="F275" s="4709"/>
      <c r="G275" s="4709"/>
      <c r="H275" s="4709"/>
    </row>
    <row r="276" spans="1:8" ht="12.75" customHeight="1">
      <c r="C276" s="1850"/>
      <c r="D276" s="1848" t="s">
        <v>2986</v>
      </c>
      <c r="E276" s="4711" t="s">
        <v>3126</v>
      </c>
      <c r="F276" s="4711"/>
      <c r="G276" s="4711"/>
      <c r="H276" s="4711"/>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4088</v>
      </c>
      <c r="E280" s="4709" t="s">
        <v>3125</v>
      </c>
      <c r="F280" s="4709"/>
      <c r="G280" s="4709"/>
      <c r="H280" s="4709"/>
    </row>
    <row r="281" spans="1:8" ht="12.75" customHeight="1">
      <c r="C281" s="1850"/>
      <c r="D281" s="1848" t="s">
        <v>2986</v>
      </c>
      <c r="E281" s="4711" t="s">
        <v>3126</v>
      </c>
      <c r="F281" s="4711"/>
      <c r="G281" s="4711"/>
      <c r="H281" s="4711"/>
    </row>
    <row r="282" spans="1:8" ht="6" customHeight="1">
      <c r="D282" s="821"/>
      <c r="E282" s="1846"/>
      <c r="F282" s="1846"/>
      <c r="G282" s="1846"/>
      <c r="H282" s="1846"/>
    </row>
    <row r="283" spans="1:8">
      <c r="A283" s="792" t="s">
        <v>2982</v>
      </c>
      <c r="B283" s="819">
        <f>IF('Part V-Revenues &amp; Expenses'!$L$59=0,"",'Part V-Revenues &amp; Expenses'!$L$59)</f>
        <v>3</v>
      </c>
      <c r="C283" s="792" t="s">
        <v>2983</v>
      </c>
      <c r="D283" s="820" t="s">
        <v>3127</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4088</v>
      </c>
      <c r="E287" s="4709" t="s">
        <v>3125</v>
      </c>
      <c r="F287" s="4709"/>
      <c r="G287" s="4709"/>
      <c r="H287" s="4709"/>
    </row>
    <row r="288" spans="1:8" ht="12.75" customHeight="1">
      <c r="C288" s="1850"/>
      <c r="D288" s="1847" t="s">
        <v>2986</v>
      </c>
      <c r="E288" s="4710" t="s">
        <v>3126</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4088</v>
      </c>
      <c r="E292" s="4709" t="s">
        <v>3125</v>
      </c>
      <c r="F292" s="4709"/>
      <c r="G292" s="4709"/>
      <c r="H292" s="4709"/>
    </row>
    <row r="293" spans="1:8" ht="12.75" customHeight="1">
      <c r="C293" s="1850"/>
      <c r="D293" s="1848" t="s">
        <v>2986</v>
      </c>
      <c r="E293" s="4711" t="s">
        <v>3126</v>
      </c>
      <c r="F293" s="4711"/>
      <c r="G293" s="4711"/>
      <c r="H293" s="4711"/>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4088</v>
      </c>
      <c r="E297" s="4709" t="s">
        <v>3125</v>
      </c>
      <c r="F297" s="4709"/>
      <c r="G297" s="4709"/>
      <c r="H297" s="4709"/>
    </row>
    <row r="298" spans="1:8" ht="12.75" customHeight="1">
      <c r="C298" s="1850"/>
      <c r="D298" s="1848" t="s">
        <v>2986</v>
      </c>
      <c r="E298" s="4711" t="s">
        <v>3126</v>
      </c>
      <c r="F298" s="4711"/>
      <c r="G298" s="4711"/>
      <c r="H298" s="4711"/>
    </row>
    <row r="299" spans="1:8" ht="6" customHeight="1">
      <c r="D299" s="821"/>
      <c r="E299" s="1846"/>
      <c r="F299" s="1846"/>
      <c r="G299" s="1846"/>
      <c r="H299" s="1846"/>
    </row>
    <row r="300" spans="1:8">
      <c r="A300" s="792" t="s">
        <v>2982</v>
      </c>
      <c r="B300" s="819">
        <f>IF('Part V-Revenues &amp; Expenses'!$M$59=0,"",'Part V-Revenues &amp; Expenses'!$M$59)</f>
        <v>7</v>
      </c>
      <c r="C300" s="792" t="s">
        <v>2984</v>
      </c>
      <c r="D300" s="820" t="s">
        <v>3128</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4088</v>
      </c>
      <c r="E304" s="4709" t="s">
        <v>3125</v>
      </c>
      <c r="F304" s="4709"/>
      <c r="G304" s="4709"/>
      <c r="H304" s="4709"/>
    </row>
    <row r="305" spans="1:8" ht="12.75" customHeight="1">
      <c r="C305" s="1850"/>
      <c r="D305" s="1847" t="s">
        <v>2986</v>
      </c>
      <c r="E305" s="4710" t="s">
        <v>3126</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4088</v>
      </c>
      <c r="E309" s="4709" t="s">
        <v>3125</v>
      </c>
      <c r="F309" s="4709"/>
      <c r="G309" s="4709"/>
      <c r="H309" s="4709"/>
    </row>
    <row r="310" spans="1:8" ht="12.75" customHeight="1">
      <c r="C310" s="1850"/>
      <c r="D310" s="1848" t="s">
        <v>2986</v>
      </c>
      <c r="E310" s="4711" t="s">
        <v>3126</v>
      </c>
      <c r="F310" s="4711"/>
      <c r="G310" s="4711"/>
      <c r="H310" s="4711"/>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4088</v>
      </c>
      <c r="E314" s="4709" t="s">
        <v>3125</v>
      </c>
      <c r="F314" s="4709"/>
      <c r="G314" s="4709"/>
      <c r="H314" s="4709"/>
    </row>
    <row r="315" spans="1:8" ht="12.75" customHeight="1">
      <c r="C315" s="1850"/>
      <c r="D315" s="1848" t="s">
        <v>2986</v>
      </c>
      <c r="E315" s="4711" t="s">
        <v>3126</v>
      </c>
      <c r="F315" s="4711"/>
      <c r="G315" s="4711"/>
      <c r="H315" s="4711"/>
    </row>
    <row r="316" spans="1:8" ht="6" customHeight="1">
      <c r="D316" s="821"/>
      <c r="E316" s="1846"/>
      <c r="F316" s="1846"/>
      <c r="G316" s="1846"/>
      <c r="H316" s="1846"/>
    </row>
    <row r="317" spans="1:8">
      <c r="A317" s="792" t="s">
        <v>2982</v>
      </c>
      <c r="B317" s="819">
        <f>IF('Part V-Revenues &amp; Expenses'!$N$59=0,"",'Part V-Revenues &amp; Expenses'!$N$59)</f>
        <v>5</v>
      </c>
      <c r="C317" s="792" t="s">
        <v>2985</v>
      </c>
      <c r="D317" s="820" t="s">
        <v>3129</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4088</v>
      </c>
      <c r="E321" s="4709" t="s">
        <v>3125</v>
      </c>
      <c r="F321" s="4709"/>
      <c r="G321" s="4709"/>
      <c r="H321" s="4709"/>
    </row>
    <row r="322" spans="1:11" ht="12.75" customHeight="1">
      <c r="C322" s="1850"/>
      <c r="D322" s="1847" t="s">
        <v>2986</v>
      </c>
      <c r="E322" s="4710" t="s">
        <v>3126</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4088</v>
      </c>
      <c r="E326" s="4709" t="s">
        <v>3125</v>
      </c>
      <c r="F326" s="4709"/>
      <c r="G326" s="4709"/>
      <c r="H326" s="4709"/>
    </row>
    <row r="327" spans="1:11" ht="12.75" customHeight="1">
      <c r="C327" s="1850"/>
      <c r="D327" s="1848" t="s">
        <v>2986</v>
      </c>
      <c r="E327" s="4711" t="s">
        <v>3126</v>
      </c>
      <c r="F327" s="4711"/>
      <c r="G327" s="4711"/>
      <c r="H327" s="4711"/>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4088</v>
      </c>
      <c r="E331" s="4709" t="s">
        <v>3125</v>
      </c>
      <c r="F331" s="4709"/>
      <c r="G331" s="4709"/>
      <c r="H331" s="4709"/>
    </row>
    <row r="332" spans="1:11" ht="12.75" customHeight="1">
      <c r="C332" s="1850"/>
      <c r="D332" s="1848" t="s">
        <v>2986</v>
      </c>
      <c r="E332" s="4711" t="s">
        <v>3126</v>
      </c>
      <c r="F332" s="4711"/>
      <c r="G332" s="4711"/>
      <c r="H332" s="4711"/>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3125</v>
      </c>
      <c r="F338" s="4709"/>
      <c r="G338" s="4709"/>
      <c r="H338" s="4709"/>
    </row>
    <row r="339" spans="1:8" ht="12.75" customHeight="1">
      <c r="D339" s="824" t="s">
        <v>2986</v>
      </c>
      <c r="E339" s="4709" t="s">
        <v>3126</v>
      </c>
      <c r="F339" s="4709"/>
      <c r="G339" s="4709"/>
      <c r="H339" s="4709"/>
    </row>
    <row r="340" spans="1:8" ht="9" customHeight="1"/>
    <row r="341" spans="1:8" ht="7.5" customHeight="1" thickBot="1">
      <c r="E341" s="4709"/>
      <c r="F341" s="4709"/>
      <c r="G341" s="4709"/>
      <c r="H341" s="4709"/>
    </row>
    <row r="342" spans="1:8" ht="16.149999999999999" customHeight="1" thickBot="1">
      <c r="A342" s="4717">
        <v>60</v>
      </c>
      <c r="B342" s="4718"/>
      <c r="C342" s="1851" t="s">
        <v>976</v>
      </c>
    </row>
    <row r="343" spans="1:8" ht="9" customHeight="1">
      <c r="A343" s="777"/>
    </row>
    <row r="344" spans="1:8" ht="28.15" customHeight="1">
      <c r="A344" s="4715" t="s">
        <v>4093</v>
      </c>
      <c r="B344" s="4715"/>
      <c r="C344" s="4715"/>
      <c r="D344" s="4715"/>
      <c r="E344" s="4715"/>
      <c r="F344" s="4715"/>
      <c r="G344" s="4715"/>
      <c r="H344" s="4715"/>
    </row>
    <row r="345" spans="1:8" ht="9" customHeight="1">
      <c r="A345" s="777"/>
    </row>
    <row r="346" spans="1:8">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4088</v>
      </c>
      <c r="E350" s="4709" t="s">
        <v>3125</v>
      </c>
      <c r="F350" s="4709"/>
      <c r="G350" s="4709"/>
      <c r="H350" s="4709"/>
    </row>
    <row r="351" spans="1:8" ht="12.75" customHeight="1">
      <c r="C351" s="1850"/>
      <c r="D351" s="1848" t="s">
        <v>2986</v>
      </c>
      <c r="E351" s="4711" t="s">
        <v>3126</v>
      </c>
      <c r="F351" s="4711"/>
      <c r="G351" s="4711"/>
      <c r="H351" s="4711"/>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4088</v>
      </c>
      <c r="E355" s="4709" t="s">
        <v>3125</v>
      </c>
      <c r="F355" s="4709"/>
      <c r="G355" s="4709"/>
      <c r="H355" s="4709"/>
    </row>
    <row r="356" spans="1:8" ht="12.75" customHeight="1">
      <c r="C356" s="1850"/>
      <c r="D356" s="1848" t="s">
        <v>2986</v>
      </c>
      <c r="E356" s="4711" t="s">
        <v>3126</v>
      </c>
      <c r="F356" s="4711"/>
      <c r="G356" s="4711"/>
      <c r="H356" s="4711"/>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4088</v>
      </c>
      <c r="E360" s="4709" t="s">
        <v>3125</v>
      </c>
      <c r="F360" s="4709"/>
      <c r="G360" s="4709"/>
      <c r="H360" s="4709"/>
    </row>
    <row r="361" spans="1:8" ht="12.75" customHeight="1">
      <c r="C361" s="1850"/>
      <c r="D361" s="1848" t="s">
        <v>2986</v>
      </c>
      <c r="E361" s="4711" t="s">
        <v>3126</v>
      </c>
      <c r="F361" s="4711"/>
      <c r="G361" s="4711"/>
      <c r="H361" s="4711"/>
    </row>
    <row r="362" spans="1:8" ht="6" customHeight="1">
      <c r="D362" s="821"/>
      <c r="E362" s="1846"/>
      <c r="F362" s="1846"/>
      <c r="G362" s="1846"/>
      <c r="H362" s="1846"/>
    </row>
    <row r="363" spans="1:8">
      <c r="A363" s="792" t="s">
        <v>2982</v>
      </c>
      <c r="B363" s="819">
        <f>IF('Part V-Revenues &amp; Expenses'!$L$58=0,"",'Part V-Revenues &amp; Expenses'!$L$58)</f>
        <v>6</v>
      </c>
      <c r="C363" s="792" t="s">
        <v>2983</v>
      </c>
      <c r="D363" s="820" t="s">
        <v>3127</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4088</v>
      </c>
      <c r="E367" s="4709" t="s">
        <v>3125</v>
      </c>
      <c r="F367" s="4709"/>
      <c r="G367" s="4709"/>
      <c r="H367" s="4709"/>
    </row>
    <row r="368" spans="1:8" ht="12.75" customHeight="1">
      <c r="C368" s="1850"/>
      <c r="D368" s="1847" t="s">
        <v>2986</v>
      </c>
      <c r="E368" s="4710" t="s">
        <v>3126</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4088</v>
      </c>
      <c r="E372" s="4709" t="s">
        <v>3125</v>
      </c>
      <c r="F372" s="4709"/>
      <c r="G372" s="4709"/>
      <c r="H372" s="4709"/>
    </row>
    <row r="373" spans="1:8" ht="12.75" customHeight="1">
      <c r="C373" s="1850"/>
      <c r="D373" s="1848" t="s">
        <v>2986</v>
      </c>
      <c r="E373" s="4711" t="s">
        <v>3126</v>
      </c>
      <c r="F373" s="4711"/>
      <c r="G373" s="4711"/>
      <c r="H373" s="4711"/>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4088</v>
      </c>
      <c r="E377" s="4709" t="s">
        <v>3125</v>
      </c>
      <c r="F377" s="4709"/>
      <c r="G377" s="4709"/>
      <c r="H377" s="4709"/>
    </row>
    <row r="378" spans="1:8" ht="12.75" customHeight="1">
      <c r="C378" s="1850"/>
      <c r="D378" s="1848" t="s">
        <v>2986</v>
      </c>
      <c r="E378" s="4711" t="s">
        <v>3126</v>
      </c>
      <c r="F378" s="4711"/>
      <c r="G378" s="4711"/>
      <c r="H378" s="4711"/>
    </row>
    <row r="379" spans="1:8" ht="6" customHeight="1">
      <c r="D379" s="821"/>
      <c r="E379" s="1846"/>
      <c r="F379" s="1846"/>
      <c r="G379" s="1846"/>
      <c r="H379" s="1846"/>
    </row>
    <row r="380" spans="1:8">
      <c r="A380" s="792" t="s">
        <v>2982</v>
      </c>
      <c r="B380" s="819">
        <f>IF('Part V-Revenues &amp; Expenses'!$M$58=0,"",'Part V-Revenues &amp; Expenses'!$M$58)</f>
        <v>14</v>
      </c>
      <c r="C380" s="792" t="s">
        <v>2984</v>
      </c>
      <c r="D380" s="820" t="s">
        <v>3128</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4088</v>
      </c>
      <c r="E384" s="4709" t="s">
        <v>3125</v>
      </c>
      <c r="F384" s="4709"/>
      <c r="G384" s="4709"/>
      <c r="H384" s="4709"/>
    </row>
    <row r="385" spans="1:8" ht="12.75" customHeight="1">
      <c r="C385" s="1850"/>
      <c r="D385" s="1847" t="s">
        <v>2986</v>
      </c>
      <c r="E385" s="4710" t="s">
        <v>3126</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4088</v>
      </c>
      <c r="E389" s="4709" t="s">
        <v>3125</v>
      </c>
      <c r="F389" s="4709"/>
      <c r="G389" s="4709"/>
      <c r="H389" s="4709"/>
    </row>
    <row r="390" spans="1:8" ht="12.75" customHeight="1">
      <c r="C390" s="1850"/>
      <c r="D390" s="1848" t="s">
        <v>2986</v>
      </c>
      <c r="E390" s="4711" t="s">
        <v>3126</v>
      </c>
      <c r="F390" s="4711"/>
      <c r="G390" s="4711"/>
      <c r="H390" s="4711"/>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4088</v>
      </c>
      <c r="E394" s="4709" t="s">
        <v>3125</v>
      </c>
      <c r="F394" s="4709"/>
      <c r="G394" s="4709"/>
      <c r="H394" s="4709"/>
    </row>
    <row r="395" spans="1:8" ht="12.75" customHeight="1">
      <c r="C395" s="1850"/>
      <c r="D395" s="1848" t="s">
        <v>2986</v>
      </c>
      <c r="E395" s="4711" t="s">
        <v>3126</v>
      </c>
      <c r="F395" s="4711"/>
      <c r="G395" s="4711"/>
      <c r="H395" s="4711"/>
    </row>
    <row r="396" spans="1:8" ht="6" customHeight="1">
      <c r="D396" s="821"/>
      <c r="E396" s="1846"/>
      <c r="F396" s="1846"/>
      <c r="G396" s="1846"/>
      <c r="H396" s="1846"/>
    </row>
    <row r="397" spans="1:8">
      <c r="A397" s="792" t="s">
        <v>2982</v>
      </c>
      <c r="B397" s="819">
        <f>IF('Part V-Revenues &amp; Expenses'!$N$58=0,"",'Part V-Revenues &amp; Expenses'!$N$58)</f>
        <v>10</v>
      </c>
      <c r="C397" s="792" t="s">
        <v>2985</v>
      </c>
      <c r="D397" s="820" t="s">
        <v>3129</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4088</v>
      </c>
      <c r="E401" s="4709" t="s">
        <v>3125</v>
      </c>
      <c r="F401" s="4709"/>
      <c r="G401" s="4709"/>
      <c r="H401" s="4709"/>
    </row>
    <row r="402" spans="1:11" ht="12.75" customHeight="1">
      <c r="C402" s="1850"/>
      <c r="D402" s="1847" t="s">
        <v>2986</v>
      </c>
      <c r="E402" s="4710" t="s">
        <v>3126</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4088</v>
      </c>
      <c r="E406" s="4709" t="s">
        <v>3125</v>
      </c>
      <c r="F406" s="4709"/>
      <c r="G406" s="4709"/>
      <c r="H406" s="4709"/>
    </row>
    <row r="407" spans="1:11" ht="12.75" customHeight="1">
      <c r="C407" s="1850"/>
      <c r="D407" s="1848" t="s">
        <v>2986</v>
      </c>
      <c r="E407" s="4711" t="s">
        <v>3126</v>
      </c>
      <c r="F407" s="4711"/>
      <c r="G407" s="4711"/>
      <c r="H407" s="4711"/>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4088</v>
      </c>
      <c r="E411" s="4709" t="s">
        <v>3125</v>
      </c>
      <c r="F411" s="4709"/>
      <c r="G411" s="4709"/>
      <c r="H411" s="4709"/>
    </row>
    <row r="412" spans="1:11" ht="12.75" customHeight="1">
      <c r="C412" s="1850"/>
      <c r="D412" s="1848" t="s">
        <v>2986</v>
      </c>
      <c r="E412" s="4711" t="s">
        <v>3126</v>
      </c>
      <c r="F412" s="4711"/>
      <c r="G412" s="4711"/>
      <c r="H412" s="4711"/>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3125</v>
      </c>
      <c r="F418" s="4709"/>
      <c r="G418" s="4709"/>
      <c r="H418" s="4709"/>
    </row>
    <row r="419" spans="1:8" ht="12.75" customHeight="1">
      <c r="D419" s="824" t="s">
        <v>2986</v>
      </c>
      <c r="E419" s="4709" t="s">
        <v>3126</v>
      </c>
      <c r="F419" s="4709"/>
      <c r="G419" s="4709"/>
      <c r="H419" s="4709"/>
    </row>
    <row r="420" spans="1:8" ht="9" customHeight="1" thickBot="1"/>
    <row r="421" spans="1:8" ht="16.149999999999999" customHeight="1" thickBot="1">
      <c r="A421" s="4717">
        <v>70</v>
      </c>
      <c r="B421" s="4718"/>
      <c r="C421" s="1851" t="s">
        <v>976</v>
      </c>
    </row>
    <row r="422" spans="1:8" ht="9" customHeight="1">
      <c r="A422" s="777"/>
    </row>
    <row r="423" spans="1:8" ht="28.15" customHeight="1">
      <c r="A423" s="4715" t="s">
        <v>4094</v>
      </c>
      <c r="B423" s="4715"/>
      <c r="C423" s="4715"/>
      <c r="D423" s="4715"/>
      <c r="E423" s="4715"/>
      <c r="F423" s="4715"/>
      <c r="G423" s="4715"/>
      <c r="H423" s="4715"/>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4088</v>
      </c>
      <c r="E429" s="4709" t="s">
        <v>3125</v>
      </c>
      <c r="F429" s="4709"/>
      <c r="G429" s="4709"/>
      <c r="H429" s="4709"/>
    </row>
    <row r="430" spans="1:8" ht="12.75" customHeight="1">
      <c r="C430" s="1850"/>
      <c r="D430" s="1848" t="s">
        <v>2986</v>
      </c>
      <c r="E430" s="4711" t="s">
        <v>3126</v>
      </c>
      <c r="F430" s="4711"/>
      <c r="G430" s="4711"/>
      <c r="H430" s="4711"/>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4088</v>
      </c>
      <c r="E434" s="4709" t="s">
        <v>3125</v>
      </c>
      <c r="F434" s="4709"/>
      <c r="G434" s="4709"/>
      <c r="H434" s="4709"/>
    </row>
    <row r="435" spans="1:8" ht="12.75" customHeight="1">
      <c r="C435" s="1850"/>
      <c r="D435" s="1848" t="s">
        <v>2986</v>
      </c>
      <c r="E435" s="4711" t="s">
        <v>3126</v>
      </c>
      <c r="F435" s="4711"/>
      <c r="G435" s="4711"/>
      <c r="H435" s="4711"/>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4088</v>
      </c>
      <c r="E439" s="4709" t="s">
        <v>3125</v>
      </c>
      <c r="F439" s="4709"/>
      <c r="G439" s="4709"/>
      <c r="H439" s="4709"/>
    </row>
    <row r="440" spans="1:8" ht="12.75" customHeight="1">
      <c r="C440" s="1850"/>
      <c r="D440" s="1848" t="s">
        <v>2986</v>
      </c>
      <c r="E440" s="4711" t="s">
        <v>3126</v>
      </c>
      <c r="F440" s="4711"/>
      <c r="G440" s="4711"/>
      <c r="H440" s="4711"/>
    </row>
    <row r="441" spans="1:8" ht="6" customHeight="1">
      <c r="D441" s="821"/>
      <c r="E441" s="1846"/>
      <c r="F441" s="1846"/>
      <c r="G441" s="1846"/>
      <c r="H441" s="1846"/>
    </row>
    <row r="442" spans="1:8">
      <c r="A442" s="792" t="s">
        <v>2982</v>
      </c>
      <c r="B442" s="819">
        <f>IF('Part V-Revenues &amp; Expenses'!$L$57=0,"",'Part V-Revenues &amp; Expenses'!$L$57)</f>
        <v>1</v>
      </c>
      <c r="C442" s="792" t="s">
        <v>2983</v>
      </c>
      <c r="D442" s="820" t="s">
        <v>3127</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4088</v>
      </c>
      <c r="E446" s="4709" t="s">
        <v>3125</v>
      </c>
      <c r="F446" s="4709"/>
      <c r="G446" s="4709"/>
      <c r="H446" s="4709"/>
    </row>
    <row r="447" spans="1:8" ht="12.75" customHeight="1">
      <c r="C447" s="1850"/>
      <c r="D447" s="1847" t="s">
        <v>2986</v>
      </c>
      <c r="E447" s="4710" t="s">
        <v>3126</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4088</v>
      </c>
      <c r="E451" s="4709" t="s">
        <v>3125</v>
      </c>
      <c r="F451" s="4709"/>
      <c r="G451" s="4709"/>
      <c r="H451" s="4709"/>
    </row>
    <row r="452" spans="1:8" ht="12.75" customHeight="1">
      <c r="C452" s="1850"/>
      <c r="D452" s="1848" t="s">
        <v>2986</v>
      </c>
      <c r="E452" s="4711" t="s">
        <v>3126</v>
      </c>
      <c r="F452" s="4711"/>
      <c r="G452" s="4711"/>
      <c r="H452" s="4711"/>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4088</v>
      </c>
      <c r="E456" s="4709" t="s">
        <v>3125</v>
      </c>
      <c r="F456" s="4709"/>
      <c r="G456" s="4709"/>
      <c r="H456" s="4709"/>
    </row>
    <row r="457" spans="1:8" ht="12.75" customHeight="1">
      <c r="C457" s="1850"/>
      <c r="D457" s="1848" t="s">
        <v>2986</v>
      </c>
      <c r="E457" s="4711" t="s">
        <v>3126</v>
      </c>
      <c r="F457" s="4711"/>
      <c r="G457" s="4711"/>
      <c r="H457" s="4711"/>
    </row>
    <row r="458" spans="1:8" ht="6" customHeight="1">
      <c r="D458" s="821"/>
      <c r="E458" s="1846"/>
      <c r="F458" s="1846"/>
      <c r="G458" s="1846"/>
      <c r="H458" s="1846"/>
    </row>
    <row r="459" spans="1:8">
      <c r="A459" s="792" t="s">
        <v>2982</v>
      </c>
      <c r="B459" s="819">
        <f>IF('Part V-Revenues &amp; Expenses'!$M$57=0,"",'Part V-Revenues &amp; Expenses'!$M$57)</f>
        <v>3</v>
      </c>
      <c r="C459" s="792" t="s">
        <v>2984</v>
      </c>
      <c r="D459" s="820" t="s">
        <v>3128</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4088</v>
      </c>
      <c r="E463" s="4709" t="s">
        <v>3125</v>
      </c>
      <c r="F463" s="4709"/>
      <c r="G463" s="4709"/>
      <c r="H463" s="4709"/>
    </row>
    <row r="464" spans="1:8" ht="12.75" customHeight="1">
      <c r="C464" s="1850"/>
      <c r="D464" s="1847" t="s">
        <v>2986</v>
      </c>
      <c r="E464" s="4710" t="s">
        <v>3126</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4088</v>
      </c>
      <c r="E468" s="4709" t="s">
        <v>3125</v>
      </c>
      <c r="F468" s="4709"/>
      <c r="G468" s="4709"/>
      <c r="H468" s="4709"/>
    </row>
    <row r="469" spans="1:8" ht="12.75" customHeight="1">
      <c r="C469" s="1850"/>
      <c r="D469" s="1848" t="s">
        <v>2986</v>
      </c>
      <c r="E469" s="4711" t="s">
        <v>3126</v>
      </c>
      <c r="F469" s="4711"/>
      <c r="G469" s="4711"/>
      <c r="H469" s="4711"/>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4088</v>
      </c>
      <c r="E473" s="4709" t="s">
        <v>3125</v>
      </c>
      <c r="F473" s="4709"/>
      <c r="G473" s="4709"/>
      <c r="H473" s="4709"/>
    </row>
    <row r="474" spans="1:8" ht="12.75" customHeight="1">
      <c r="C474" s="1850"/>
      <c r="D474" s="1848" t="s">
        <v>2986</v>
      </c>
      <c r="E474" s="4711" t="s">
        <v>3126</v>
      </c>
      <c r="F474" s="4711"/>
      <c r="G474" s="4711"/>
      <c r="H474" s="4711"/>
    </row>
    <row r="475" spans="1:8" ht="6" customHeight="1">
      <c r="D475" s="821"/>
      <c r="E475" s="1846"/>
      <c r="F475" s="1846"/>
      <c r="G475" s="1846"/>
      <c r="H475" s="1846"/>
    </row>
    <row r="476" spans="1:8">
      <c r="A476" s="792" t="s">
        <v>2982</v>
      </c>
      <c r="B476" s="819">
        <f>IF('Part V-Revenues &amp; Expenses'!$N$57=0,"",'Part V-Revenues &amp; Expenses'!$N$57)</f>
        <v>1</v>
      </c>
      <c r="C476" s="792" t="s">
        <v>2985</v>
      </c>
      <c r="D476" s="820" t="s">
        <v>3129</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4088</v>
      </c>
      <c r="E480" s="4709" t="s">
        <v>3125</v>
      </c>
      <c r="F480" s="4709"/>
      <c r="G480" s="4709"/>
      <c r="H480" s="4709"/>
    </row>
    <row r="481" spans="1:11" ht="12.75" customHeight="1">
      <c r="C481" s="1850"/>
      <c r="D481" s="1847" t="s">
        <v>2986</v>
      </c>
      <c r="E481" s="4710" t="s">
        <v>3126</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4088</v>
      </c>
      <c r="E485" s="4709" t="s">
        <v>3125</v>
      </c>
      <c r="F485" s="4709"/>
      <c r="G485" s="4709"/>
      <c r="H485" s="4709"/>
    </row>
    <row r="486" spans="1:11" ht="12.75" customHeight="1">
      <c r="C486" s="1850"/>
      <c r="D486" s="1848" t="s">
        <v>2986</v>
      </c>
      <c r="E486" s="4711" t="s">
        <v>3126</v>
      </c>
      <c r="F486" s="4711"/>
      <c r="G486" s="4711"/>
      <c r="H486" s="4711"/>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4088</v>
      </c>
      <c r="E490" s="4709" t="s">
        <v>3125</v>
      </c>
      <c r="F490" s="4709"/>
      <c r="G490" s="4709"/>
      <c r="H490" s="4709"/>
    </row>
    <row r="491" spans="1:11" ht="12.75" customHeight="1">
      <c r="C491" s="1850"/>
      <c r="D491" s="1848" t="s">
        <v>2986</v>
      </c>
      <c r="E491" s="4711" t="s">
        <v>3126</v>
      </c>
      <c r="F491" s="4711"/>
      <c r="G491" s="4711"/>
      <c r="H491" s="4711"/>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3125</v>
      </c>
      <c r="F497" s="4709"/>
      <c r="G497" s="4709"/>
      <c r="H497" s="4709"/>
    </row>
    <row r="498" spans="1:8" ht="12.75" customHeight="1">
      <c r="D498" s="824" t="s">
        <v>2986</v>
      </c>
      <c r="E498" s="4709" t="s">
        <v>3126</v>
      </c>
      <c r="F498" s="4709"/>
      <c r="G498" s="4709"/>
      <c r="H498" s="4709"/>
    </row>
    <row r="499" spans="1:8" ht="9" customHeight="1" thickBot="1"/>
    <row r="500" spans="1:8" ht="16.149999999999999" customHeight="1" thickBot="1">
      <c r="A500" s="4717">
        <v>80</v>
      </c>
      <c r="B500" s="4718"/>
      <c r="C500" s="1851" t="s">
        <v>976</v>
      </c>
    </row>
    <row r="501" spans="1:8" ht="9" customHeight="1">
      <c r="A501" s="777"/>
    </row>
    <row r="502" spans="1:8" ht="28.15" customHeight="1">
      <c r="A502" s="4715" t="s">
        <v>4095</v>
      </c>
      <c r="B502" s="4715"/>
      <c r="C502" s="4715"/>
      <c r="D502" s="4715"/>
      <c r="E502" s="4715"/>
      <c r="F502" s="4715"/>
      <c r="G502" s="4715"/>
      <c r="H502" s="4715"/>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4088</v>
      </c>
      <c r="E508" s="4709" t="s">
        <v>3125</v>
      </c>
      <c r="F508" s="4709"/>
      <c r="G508" s="4709"/>
      <c r="H508" s="4709"/>
    </row>
    <row r="509" spans="1:8" ht="12.75" customHeight="1">
      <c r="C509" s="1850"/>
      <c r="D509" s="1848" t="s">
        <v>2986</v>
      </c>
      <c r="E509" s="4711" t="s">
        <v>3126</v>
      </c>
      <c r="F509" s="4711"/>
      <c r="G509" s="4711"/>
      <c r="H509" s="4711"/>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4088</v>
      </c>
      <c r="E513" s="4709" t="s">
        <v>3125</v>
      </c>
      <c r="F513" s="4709"/>
      <c r="G513" s="4709"/>
      <c r="H513" s="4709"/>
    </row>
    <row r="514" spans="1:8" ht="12.75" customHeight="1">
      <c r="C514" s="1850"/>
      <c r="D514" s="1848" t="s">
        <v>2986</v>
      </c>
      <c r="E514" s="4711" t="s">
        <v>3126</v>
      </c>
      <c r="F514" s="4711"/>
      <c r="G514" s="4711"/>
      <c r="H514" s="4711"/>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4088</v>
      </c>
      <c r="E518" s="4709" t="s">
        <v>3125</v>
      </c>
      <c r="F518" s="4709"/>
      <c r="G518" s="4709"/>
      <c r="H518" s="4709"/>
    </row>
    <row r="519" spans="1:8" ht="12.75" customHeight="1">
      <c r="C519" s="1850"/>
      <c r="D519" s="1848" t="s">
        <v>2986</v>
      </c>
      <c r="E519" s="4711" t="s">
        <v>3126</v>
      </c>
      <c r="F519" s="4711"/>
      <c r="G519" s="4711"/>
      <c r="H519" s="4711"/>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3127</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4088</v>
      </c>
      <c r="E525" s="4709" t="s">
        <v>3125</v>
      </c>
      <c r="F525" s="4709"/>
      <c r="G525" s="4709"/>
      <c r="H525" s="4709"/>
    </row>
    <row r="526" spans="1:8" ht="12.75" customHeight="1">
      <c r="C526" s="1850"/>
      <c r="D526" s="1847" t="s">
        <v>2986</v>
      </c>
      <c r="E526" s="4710" t="s">
        <v>3126</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4088</v>
      </c>
      <c r="E530" s="4709" t="s">
        <v>3125</v>
      </c>
      <c r="F530" s="4709"/>
      <c r="G530" s="4709"/>
      <c r="H530" s="4709"/>
    </row>
    <row r="531" spans="1:8" ht="12.75" customHeight="1">
      <c r="C531" s="1850"/>
      <c r="D531" s="1848" t="s">
        <v>2986</v>
      </c>
      <c r="E531" s="4711" t="s">
        <v>3126</v>
      </c>
      <c r="F531" s="4711"/>
      <c r="G531" s="4711"/>
      <c r="H531" s="4711"/>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4088</v>
      </c>
      <c r="E535" s="4709" t="s">
        <v>3125</v>
      </c>
      <c r="F535" s="4709"/>
      <c r="G535" s="4709"/>
      <c r="H535" s="4709"/>
    </row>
    <row r="536" spans="1:8" ht="12.75" customHeight="1">
      <c r="C536" s="1850"/>
      <c r="D536" s="1848" t="s">
        <v>2986</v>
      </c>
      <c r="E536" s="4711" t="s">
        <v>3126</v>
      </c>
      <c r="F536" s="4711"/>
      <c r="G536" s="4711"/>
      <c r="H536" s="4711"/>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3128</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4088</v>
      </c>
      <c r="E542" s="4709" t="s">
        <v>3125</v>
      </c>
      <c r="F542" s="4709"/>
      <c r="G542" s="4709"/>
      <c r="H542" s="4709"/>
    </row>
    <row r="543" spans="1:8" ht="12.75" customHeight="1">
      <c r="C543" s="1850"/>
      <c r="D543" s="1847" t="s">
        <v>2986</v>
      </c>
      <c r="E543" s="4710" t="s">
        <v>3126</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4088</v>
      </c>
      <c r="E547" s="4709" t="s">
        <v>3125</v>
      </c>
      <c r="F547" s="4709"/>
      <c r="G547" s="4709"/>
      <c r="H547" s="4709"/>
    </row>
    <row r="548" spans="1:8" ht="12.75" customHeight="1">
      <c r="C548" s="1850"/>
      <c r="D548" s="1848" t="s">
        <v>2986</v>
      </c>
      <c r="E548" s="4711" t="s">
        <v>3126</v>
      </c>
      <c r="F548" s="4711"/>
      <c r="G548" s="4711"/>
      <c r="H548" s="4711"/>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4088</v>
      </c>
      <c r="E552" s="4709" t="s">
        <v>3125</v>
      </c>
      <c r="F552" s="4709"/>
      <c r="G552" s="4709"/>
      <c r="H552" s="4709"/>
    </row>
    <row r="553" spans="1:8" ht="12.75" customHeight="1">
      <c r="C553" s="1850"/>
      <c r="D553" s="1848" t="s">
        <v>2986</v>
      </c>
      <c r="E553" s="4711" t="s">
        <v>3126</v>
      </c>
      <c r="F553" s="4711"/>
      <c r="G553" s="4711"/>
      <c r="H553" s="4711"/>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3129</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4088</v>
      </c>
      <c r="E559" s="4709" t="s">
        <v>3125</v>
      </c>
      <c r="F559" s="4709"/>
      <c r="G559" s="4709"/>
      <c r="H559" s="4709"/>
    </row>
    <row r="560" spans="1:8" ht="12.75" customHeight="1">
      <c r="C560" s="1850"/>
      <c r="D560" s="1847" t="s">
        <v>2986</v>
      </c>
      <c r="E560" s="4710" t="s">
        <v>3126</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4088</v>
      </c>
      <c r="E564" s="4709" t="s">
        <v>3125</v>
      </c>
      <c r="F564" s="4709"/>
      <c r="G564" s="4709"/>
      <c r="H564" s="4709"/>
    </row>
    <row r="565" spans="1:11" ht="12.75" customHeight="1">
      <c r="C565" s="1850"/>
      <c r="D565" s="1848" t="s">
        <v>2986</v>
      </c>
      <c r="E565" s="4711" t="s">
        <v>3126</v>
      </c>
      <c r="F565" s="4711"/>
      <c r="G565" s="4711"/>
      <c r="H565" s="4711"/>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4088</v>
      </c>
      <c r="E569" s="4709" t="s">
        <v>3125</v>
      </c>
      <c r="F569" s="4709"/>
      <c r="G569" s="4709"/>
      <c r="H569" s="4709"/>
    </row>
    <row r="570" spans="1:11" ht="12.75" customHeight="1">
      <c r="C570" s="1850"/>
      <c r="D570" s="1848" t="s">
        <v>2986</v>
      </c>
      <c r="E570" s="4711" t="s">
        <v>3126</v>
      </c>
      <c r="F570" s="4711"/>
      <c r="G570" s="4711"/>
      <c r="H570" s="4711"/>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3125</v>
      </c>
      <c r="F576" s="4709"/>
      <c r="G576" s="4709"/>
      <c r="H576" s="4709"/>
    </row>
    <row r="577" spans="4:8" ht="12.75" customHeight="1">
      <c r="D577" s="824" t="s">
        <v>2986</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Cypress Reserve</v>
      </c>
    </row>
    <row r="2" spans="1:14">
      <c r="A2" s="711" t="s">
        <v>2884</v>
      </c>
      <c r="H2" s="774" t="str">
        <f>'Sensitivity Analysis'!E8</f>
        <v>2022-0</v>
      </c>
    </row>
    <row r="3" spans="1:14" ht="3" customHeight="1"/>
    <row r="4" spans="1:14" ht="69.599999999999994" customHeight="1">
      <c r="A4" s="4712" t="s">
        <v>2980</v>
      </c>
      <c r="B4" s="4712"/>
      <c r="C4" s="4712"/>
      <c r="D4" s="4712"/>
      <c r="E4" s="4712"/>
      <c r="F4" s="4712"/>
      <c r="G4" s="4712"/>
      <c r="H4" s="4712"/>
      <c r="I4" s="4712"/>
      <c r="J4" s="4712"/>
      <c r="K4" s="4712"/>
      <c r="L4" s="4719">
        <f>SUM('Part VI-Pro Forma'!B15:B17)/12</f>
        <v>27684.891000000003</v>
      </c>
      <c r="M4" s="4719"/>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12833120</v>
      </c>
      <c r="M11" s="4713"/>
    </row>
    <row r="12" spans="1:14" ht="1.5" customHeight="1">
      <c r="G12" s="787"/>
      <c r="H12" s="787"/>
    </row>
    <row r="13" spans="1:14" ht="25.9"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26" t="s">
        <v>4085</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1</v>
      </c>
      <c r="G26" s="2036">
        <f>'Part V-Revenues &amp; Expenses'!M57</f>
        <v>3</v>
      </c>
      <c r="H26" s="2036">
        <f>'Part V-Revenues &amp; Expenses'!N57</f>
        <v>1</v>
      </c>
      <c r="I26" s="2036">
        <f>'Part V-Revenues &amp; Expenses'!O57</f>
        <v>0</v>
      </c>
      <c r="J26" s="2037">
        <f>'Part V-Revenues &amp; Expenses'!P57</f>
        <v>5</v>
      </c>
    </row>
    <row r="27" spans="1:19" s="562" customFormat="1" ht="15" customHeight="1">
      <c r="C27" s="2031" t="s">
        <v>1082</v>
      </c>
      <c r="D27" s="2023"/>
      <c r="E27" s="2035">
        <f>'Part V-Revenues &amp; Expenses'!K58</f>
        <v>0</v>
      </c>
      <c r="F27" s="2036">
        <f>'Part V-Revenues &amp; Expenses'!L58</f>
        <v>6</v>
      </c>
      <c r="G27" s="2036">
        <f>'Part V-Revenues &amp; Expenses'!M58</f>
        <v>14</v>
      </c>
      <c r="H27" s="2036">
        <f>'Part V-Revenues &amp; Expenses'!N58</f>
        <v>10</v>
      </c>
      <c r="I27" s="2036">
        <f>'Part V-Revenues &amp; Expenses'!O58</f>
        <v>0</v>
      </c>
      <c r="J27" s="2037">
        <f>'Part V-Revenues &amp; Expenses'!P58</f>
        <v>30</v>
      </c>
    </row>
    <row r="28" spans="1:19" s="562" customFormat="1" ht="15" customHeight="1">
      <c r="C28" s="2031" t="s">
        <v>112</v>
      </c>
      <c r="D28" s="2023"/>
      <c r="E28" s="2035">
        <f>'Part V-Revenues &amp; Expenses'!K59</f>
        <v>0</v>
      </c>
      <c r="F28" s="2036">
        <f>'Part V-Revenues &amp; Expenses'!L59</f>
        <v>3</v>
      </c>
      <c r="G28" s="2036">
        <f>'Part V-Revenues &amp; Expenses'!M59</f>
        <v>7</v>
      </c>
      <c r="H28" s="2036">
        <f>'Part V-Revenues &amp; Expenses'!N59</f>
        <v>5</v>
      </c>
      <c r="I28" s="2036">
        <f>'Part V-Revenues &amp; Expenses'!O59</f>
        <v>0</v>
      </c>
      <c r="J28" s="2037">
        <f>'Part V-Revenues &amp; Expenses'!P59</f>
        <v>15</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10</v>
      </c>
      <c r="G32" s="2029">
        <f>'Part V-Revenues &amp; Expenses'!M63</f>
        <v>24</v>
      </c>
      <c r="H32" s="2029">
        <f>'Part V-Revenues &amp; Expenses'!N63</f>
        <v>16</v>
      </c>
      <c r="I32" s="2029">
        <f>'Part V-Revenues &amp; Expenses'!O63</f>
        <v>0</v>
      </c>
      <c r="J32" s="2039">
        <f>'Part V-Revenues &amp; Expenses'!P63</f>
        <v>50</v>
      </c>
    </row>
    <row r="33" spans="1:12" s="562" customFormat="1" ht="13.15" customHeight="1" thickBot="1">
      <c r="K33" s="2016"/>
    </row>
    <row r="34" spans="1:12" s="562" customFormat="1" ht="14.25" customHeight="1" thickBot="1">
      <c r="A34" s="2016"/>
      <c r="B34" s="4727" t="s">
        <v>6178</v>
      </c>
      <c r="E34" s="4728" t="s">
        <v>6071</v>
      </c>
      <c r="F34" s="4729"/>
      <c r="G34" s="4729"/>
      <c r="H34" s="4729"/>
      <c r="I34" s="4729"/>
      <c r="J34" s="4729"/>
      <c r="K34" s="4729"/>
      <c r="L34" s="4730"/>
    </row>
    <row r="35" spans="1:12" s="562" customFormat="1" ht="14.25" customHeight="1">
      <c r="A35" s="2016"/>
      <c r="B35" s="4727"/>
      <c r="C35" s="4731" t="s">
        <v>6179</v>
      </c>
      <c r="D35" s="4727" t="s">
        <v>6180</v>
      </c>
      <c r="E35" s="4732" t="s">
        <v>6074</v>
      </c>
      <c r="F35" s="4733"/>
      <c r="G35" s="4736" t="s">
        <v>1276</v>
      </c>
      <c r="H35" s="4738" t="s">
        <v>6070</v>
      </c>
      <c r="I35" s="4739"/>
      <c r="J35" s="4739"/>
      <c r="K35" s="4739"/>
      <c r="L35" s="4740"/>
    </row>
    <row r="36" spans="1:12" s="562" customFormat="1" ht="23.25" customHeight="1">
      <c r="A36" s="4731" t="s">
        <v>976</v>
      </c>
      <c r="B36" s="4727"/>
      <c r="C36" s="4731"/>
      <c r="D36" s="4727"/>
      <c r="E36" s="4734"/>
      <c r="F36" s="4735"/>
      <c r="G36" s="4737"/>
      <c r="H36" s="4741" t="s">
        <v>6072</v>
      </c>
      <c r="I36" s="4742"/>
      <c r="J36" s="4745" t="s">
        <v>1276</v>
      </c>
      <c r="K36" s="4742" t="s">
        <v>6073</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15" customHeight="1">
      <c r="A39" s="2020">
        <f>'Part V-Revenues &amp; Expenses'!B18</f>
        <v>50</v>
      </c>
      <c r="B39" s="2021">
        <f>'Part V-Revenues &amp; Expenses'!E18</f>
        <v>3</v>
      </c>
      <c r="C39" s="2022" t="str">
        <f>_xlfn.CONCAT('Part V-Revenues &amp; Expenses'!C18," / ",'Part V-Revenues &amp; Expenses'!D18)</f>
        <v>1 / 1</v>
      </c>
      <c r="D39" s="2021">
        <f>'Part V-Revenues &amp; Expenses'!F18</f>
        <v>704</v>
      </c>
      <c r="E39" s="4724">
        <f>'Part V-Revenues &amp; Expenses'!H18</f>
        <v>552</v>
      </c>
      <c r="F39" s="4725"/>
      <c r="G39" s="2023"/>
      <c r="H39" s="4752"/>
      <c r="I39" s="4753"/>
      <c r="J39" s="4753"/>
      <c r="K39" s="4753"/>
      <c r="L39" s="4754"/>
    </row>
    <row r="40" spans="1:12" s="562" customFormat="1" ht="13.15" customHeight="1">
      <c r="A40" s="2024">
        <f>'Part V-Revenues &amp; Expenses'!B19</f>
        <v>60</v>
      </c>
      <c r="B40" s="2025">
        <f>'Part V-Revenues &amp; Expenses'!E19</f>
        <v>6</v>
      </c>
      <c r="C40" s="2026" t="str">
        <f>_xlfn.CONCAT('Part V-Revenues &amp; Expenses'!C19," / ",'Part V-Revenues &amp; Expenses'!D19)</f>
        <v>1 / 1</v>
      </c>
      <c r="D40" s="2025">
        <f>'Part V-Revenues &amp; Expenses'!F19</f>
        <v>704</v>
      </c>
      <c r="E40" s="4722">
        <f>'Part V-Revenues &amp; Expenses'!H19</f>
        <v>592</v>
      </c>
      <c r="F40" s="4723"/>
      <c r="G40" s="2023"/>
      <c r="H40" s="4749"/>
      <c r="I40" s="4750"/>
      <c r="J40" s="4750"/>
      <c r="K40" s="4750"/>
      <c r="L40" s="4751"/>
    </row>
    <row r="41" spans="1:12" s="562" customFormat="1" ht="13.15" customHeight="1">
      <c r="A41" s="2024">
        <f>'Part V-Revenues &amp; Expenses'!B20</f>
        <v>70</v>
      </c>
      <c r="B41" s="2025">
        <f>'Part V-Revenues &amp; Expenses'!E20</f>
        <v>1</v>
      </c>
      <c r="C41" s="2026" t="str">
        <f>_xlfn.CONCAT('Part V-Revenues &amp; Expenses'!C20," / ",'Part V-Revenues &amp; Expenses'!D20)</f>
        <v>1 / 1</v>
      </c>
      <c r="D41" s="2025">
        <f>'Part V-Revenues &amp; Expenses'!F20</f>
        <v>704</v>
      </c>
      <c r="E41" s="4722">
        <f>'Part V-Revenues &amp; Expenses'!H20</f>
        <v>707</v>
      </c>
      <c r="F41" s="4723"/>
      <c r="G41" s="2023"/>
      <c r="H41" s="4749"/>
      <c r="I41" s="4750"/>
      <c r="J41" s="4750"/>
      <c r="K41" s="4750"/>
      <c r="L41" s="4751"/>
    </row>
    <row r="42" spans="1:12" s="562" customFormat="1" ht="13.15" customHeight="1">
      <c r="A42" s="2024">
        <f>'Part V-Revenues &amp; Expenses'!B21</f>
        <v>50</v>
      </c>
      <c r="B42" s="2025">
        <f>'Part V-Revenues &amp; Expenses'!E21</f>
        <v>7</v>
      </c>
      <c r="C42" s="2026" t="str">
        <f>_xlfn.CONCAT('Part V-Revenues &amp; Expenses'!C21," / ",'Part V-Revenues &amp; Expenses'!D21)</f>
        <v>2 / 2</v>
      </c>
      <c r="D42" s="2025">
        <f>'Part V-Revenues &amp; Expenses'!F21</f>
        <v>1005</v>
      </c>
      <c r="E42" s="4722">
        <f>'Part V-Revenues &amp; Expenses'!H21</f>
        <v>664</v>
      </c>
      <c r="F42" s="4723"/>
      <c r="G42" s="2023"/>
      <c r="H42" s="4749"/>
      <c r="I42" s="4750"/>
      <c r="J42" s="4750"/>
      <c r="K42" s="4750"/>
      <c r="L42" s="4751"/>
    </row>
    <row r="43" spans="1:12" s="562" customFormat="1" ht="13.15" customHeight="1">
      <c r="A43" s="2024">
        <f>'Part V-Revenues &amp; Expenses'!B22</f>
        <v>60</v>
      </c>
      <c r="B43" s="2025">
        <f>'Part V-Revenues &amp; Expenses'!E22</f>
        <v>14</v>
      </c>
      <c r="C43" s="2026" t="str">
        <f>_xlfn.CONCAT('Part V-Revenues &amp; Expenses'!C22," / ",'Part V-Revenues &amp; Expenses'!D22)</f>
        <v>2 / 2</v>
      </c>
      <c r="D43" s="2025">
        <f>'Part V-Revenues &amp; Expenses'!F22</f>
        <v>1005</v>
      </c>
      <c r="E43" s="4722">
        <f>'Part V-Revenues &amp; Expenses'!H22</f>
        <v>709</v>
      </c>
      <c r="F43" s="4723"/>
      <c r="G43" s="2023"/>
      <c r="H43" s="4749"/>
      <c r="I43" s="4750"/>
      <c r="J43" s="4750"/>
      <c r="K43" s="4750"/>
      <c r="L43" s="4751"/>
    </row>
    <row r="44" spans="1:12" s="562" customFormat="1" ht="13.15" customHeight="1">
      <c r="A44" s="2024">
        <f>'Part V-Revenues &amp; Expenses'!B23</f>
        <v>70</v>
      </c>
      <c r="B44" s="2025">
        <f>'Part V-Revenues &amp; Expenses'!E23</f>
        <v>3</v>
      </c>
      <c r="C44" s="2026" t="str">
        <f>_xlfn.CONCAT('Part V-Revenues &amp; Expenses'!C23," / ",'Part V-Revenues &amp; Expenses'!D23)</f>
        <v>2 / 2</v>
      </c>
      <c r="D44" s="2025">
        <f>'Part V-Revenues &amp; Expenses'!F23</f>
        <v>1005</v>
      </c>
      <c r="E44" s="4722">
        <f>'Part V-Revenues &amp; Expenses'!H23</f>
        <v>824</v>
      </c>
      <c r="F44" s="4723"/>
      <c r="G44" s="2023"/>
      <c r="H44" s="4749"/>
      <c r="I44" s="4750"/>
      <c r="J44" s="4750"/>
      <c r="K44" s="4750"/>
      <c r="L44" s="4751"/>
    </row>
    <row r="45" spans="1:12" s="562" customFormat="1" ht="13.15" customHeight="1">
      <c r="A45" s="2024">
        <f>'Part V-Revenues &amp; Expenses'!B24</f>
        <v>50</v>
      </c>
      <c r="B45" s="2025">
        <f>'Part V-Revenues &amp; Expenses'!E24</f>
        <v>5</v>
      </c>
      <c r="C45" s="2026" t="str">
        <f>_xlfn.CONCAT('Part V-Revenues &amp; Expenses'!C24," / ",'Part V-Revenues &amp; Expenses'!D24)</f>
        <v>3 / 2</v>
      </c>
      <c r="D45" s="2025">
        <f>'Part V-Revenues &amp; Expenses'!F24</f>
        <v>1110</v>
      </c>
      <c r="E45" s="4722">
        <f>'Part V-Revenues &amp; Expenses'!H24</f>
        <v>749</v>
      </c>
      <c r="F45" s="4723"/>
      <c r="G45" s="2023"/>
      <c r="H45" s="4749"/>
      <c r="I45" s="4750"/>
      <c r="J45" s="4750"/>
      <c r="K45" s="4750"/>
      <c r="L45" s="4751"/>
    </row>
    <row r="46" spans="1:12" s="562" customFormat="1" ht="13.15" customHeight="1">
      <c r="A46" s="2024">
        <f>'Part V-Revenues &amp; Expenses'!B25</f>
        <v>60</v>
      </c>
      <c r="B46" s="2025">
        <f>'Part V-Revenues &amp; Expenses'!E25</f>
        <v>10</v>
      </c>
      <c r="C46" s="2026" t="str">
        <f>_xlfn.CONCAT('Part V-Revenues &amp; Expenses'!C25," / ",'Part V-Revenues &amp; Expenses'!D25)</f>
        <v>3 / 2</v>
      </c>
      <c r="D46" s="2025">
        <f>'Part V-Revenues &amp; Expenses'!F25</f>
        <v>1110</v>
      </c>
      <c r="E46" s="4722">
        <f>'Part V-Revenues &amp; Expenses'!H25</f>
        <v>799</v>
      </c>
      <c r="F46" s="4723"/>
      <c r="G46" s="2023"/>
      <c r="H46" s="4749"/>
      <c r="I46" s="4750"/>
      <c r="J46" s="4750"/>
      <c r="K46" s="4750"/>
      <c r="L46" s="4751"/>
    </row>
    <row r="47" spans="1:12" s="562" customFormat="1" ht="13.15" customHeight="1">
      <c r="A47" s="2024">
        <f>'Part V-Revenues &amp; Expenses'!B26</f>
        <v>70</v>
      </c>
      <c r="B47" s="2025">
        <f>'Part V-Revenues &amp; Expenses'!E26</f>
        <v>1</v>
      </c>
      <c r="C47" s="2026" t="str">
        <f>_xlfn.CONCAT('Part V-Revenues &amp; Expenses'!C26," / ",'Part V-Revenues &amp; Expenses'!D26)</f>
        <v>3 / 2</v>
      </c>
      <c r="D47" s="2025">
        <f>'Part V-Revenues &amp; Expenses'!F26</f>
        <v>1110</v>
      </c>
      <c r="E47" s="4722">
        <f>'Part V-Revenues &amp; Expenses'!H26</f>
        <v>899</v>
      </c>
      <c r="F47" s="4723"/>
      <c r="G47" s="2023"/>
      <c r="H47" s="4749"/>
      <c r="I47" s="4750"/>
      <c r="J47" s="4750"/>
      <c r="K47" s="4750"/>
      <c r="L47" s="475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49"/>
      <c r="I48" s="4750"/>
      <c r="J48" s="4750"/>
      <c r="K48" s="4750"/>
      <c r="L48" s="475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3" t="s">
        <v>3482</v>
      </c>
      <c r="C1" s="4773"/>
      <c r="D1" s="4773"/>
      <c r="E1" s="4773"/>
      <c r="F1" s="4773"/>
      <c r="G1" s="4773"/>
      <c r="H1" s="4773"/>
      <c r="I1" s="4773"/>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Cypress Reserve</v>
      </c>
      <c r="H5" s="4784"/>
      <c r="I5" s="4785"/>
      <c r="K5" s="774"/>
    </row>
    <row r="6" spans="2:13" ht="4.5" customHeight="1">
      <c r="D6" s="1321"/>
      <c r="E6" s="1321"/>
      <c r="F6" s="1321"/>
      <c r="G6" s="1321"/>
      <c r="H6" s="1321"/>
      <c r="I6" s="1321"/>
      <c r="K6" s="774"/>
    </row>
    <row r="7" spans="2: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58" t="s">
        <v>3490</v>
      </c>
      <c r="I35" s="4759"/>
    </row>
    <row r="36" spans="2:9">
      <c r="B36" s="1349" t="s">
        <v>3489</v>
      </c>
      <c r="C36" s="1347"/>
      <c r="D36" s="1347"/>
      <c r="E36" s="1322"/>
      <c r="F36" s="1591"/>
      <c r="G36" s="1350"/>
      <c r="H36" s="4758"/>
      <c r="I36" s="4759"/>
    </row>
    <row r="37" spans="2:9">
      <c r="B37" s="1349" t="s">
        <v>3487</v>
      </c>
      <c r="D37" s="1347"/>
      <c r="E37" s="1322"/>
      <c r="F37" s="1592"/>
      <c r="G37" s="1350"/>
      <c r="H37" s="4758"/>
      <c r="I37" s="4759"/>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90" t="str">
        <f>'Part I-Project Identification'!F30</f>
        <v>Adel</v>
      </c>
      <c r="D52" s="479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8966590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8966590</v>
      </c>
      <c r="G84" s="4763"/>
      <c r="H84" s="1322"/>
      <c r="I84" s="1332"/>
    </row>
    <row r="85" spans="2:9">
      <c r="B85" s="1330"/>
      <c r="C85" s="814" t="s">
        <v>2930</v>
      </c>
      <c r="D85" s="1322"/>
      <c r="E85" s="1322"/>
      <c r="F85" s="4789">
        <f>'Part II-Sources of Funds'!I47+'Part II-Sources of Funds'!L47</f>
        <v>38630.193114114918</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c r="B89" s="1330"/>
      <c r="C89" s="794" t="s">
        <v>2934</v>
      </c>
      <c r="D89" s="1322"/>
      <c r="E89" s="1322"/>
      <c r="F89" s="4761">
        <f>SUM(F84:G88)</f>
        <v>9016220.1931141149</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9016220.1931141149</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58"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6512</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3192</v>
      </c>
      <c r="C13" s="4804"/>
      <c r="D13" s="4804"/>
      <c r="E13" s="4804"/>
      <c r="F13" s="4804"/>
      <c r="G13" s="4804"/>
      <c r="H13" s="4804"/>
      <c r="I13" s="4804"/>
      <c r="J13" s="4804"/>
      <c r="K13" s="4804"/>
      <c r="L13" s="4804"/>
      <c r="M13" s="4804"/>
      <c r="U13" s="1025" t="s">
        <v>6277</v>
      </c>
    </row>
    <row r="14" spans="1:26" ht="47.25" customHeight="1">
      <c r="A14" s="1031" t="s">
        <v>1616</v>
      </c>
      <c r="B14" s="4804" t="s">
        <v>3193</v>
      </c>
      <c r="C14" s="4804"/>
      <c r="D14" s="4804"/>
      <c r="E14" s="4804"/>
      <c r="F14" s="4804"/>
      <c r="G14" s="4804"/>
      <c r="H14" s="4804"/>
      <c r="I14" s="4804"/>
      <c r="J14" s="4804"/>
      <c r="K14" s="4804"/>
      <c r="L14" s="4804"/>
      <c r="M14" s="4804"/>
    </row>
    <row r="15" spans="1:26" ht="117" customHeight="1">
      <c r="A15" s="1031" t="s">
        <v>1617</v>
      </c>
      <c r="B15" s="4804" t="s">
        <v>3194</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3195</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3091</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3092</v>
      </c>
      <c r="C25" s="4804"/>
      <c r="D25" s="4804"/>
      <c r="E25" s="4804"/>
      <c r="F25" s="4804"/>
      <c r="G25" s="4804"/>
      <c r="H25" s="4804"/>
      <c r="I25" s="4804"/>
      <c r="J25" s="4804"/>
      <c r="K25" s="4804"/>
      <c r="L25" s="4804"/>
      <c r="M25" s="4804"/>
    </row>
    <row r="26" spans="1:13" ht="31.5" customHeight="1">
      <c r="A26" s="1031" t="s">
        <v>1376</v>
      </c>
      <c r="B26" s="4804" t="s">
        <v>3093</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ht="16.5">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1" t="s">
        <v>868</v>
      </c>
      <c r="I41" s="4801"/>
      <c r="J41" s="4801"/>
      <c r="K41" s="4801"/>
      <c r="L41" s="4801"/>
      <c r="M41" s="4801"/>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5" t="s">
        <v>6623</v>
      </c>
      <c r="R11" s="4845"/>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3145</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2" t="s">
        <v>3912</v>
      </c>
      <c r="R13" s="4852"/>
      <c r="S13" s="180"/>
      <c r="T13" s="180"/>
      <c r="U13" s="180"/>
      <c r="AA13" s="523"/>
      <c r="AB13" s="523"/>
    </row>
    <row r="14" spans="1:28" s="293" customFormat="1" ht="12.75" hidden="1" customHeight="1">
      <c r="A14" s="183"/>
      <c r="B14" s="183"/>
      <c r="C14" s="183"/>
      <c r="K14" s="1632" t="s">
        <v>3913</v>
      </c>
      <c r="L14" s="1631"/>
      <c r="N14" s="303"/>
      <c r="O14" s="183"/>
      <c r="P14" s="180"/>
      <c r="Q14" s="4850">
        <v>0.2</v>
      </c>
      <c r="R14" s="4851"/>
      <c r="S14" s="180"/>
      <c r="T14" s="180"/>
      <c r="U14" s="180"/>
      <c r="AA14" s="523"/>
      <c r="AB14" s="523"/>
    </row>
    <row r="15" spans="1:28" s="293" customFormat="1" ht="12.75" hidden="1" customHeight="1">
      <c r="A15" s="183"/>
      <c r="B15" s="183"/>
      <c r="C15" s="183"/>
      <c r="K15" s="1632" t="s">
        <v>3914</v>
      </c>
      <c r="L15" s="1631"/>
      <c r="N15" s="303"/>
      <c r="O15" s="183"/>
      <c r="P15" s="180"/>
      <c r="Q15" s="4848">
        <v>0.15</v>
      </c>
      <c r="R15" s="4849"/>
      <c r="S15" s="180"/>
      <c r="T15" s="180"/>
      <c r="U15" s="180"/>
      <c r="AA15" s="523"/>
      <c r="AB15" s="523"/>
    </row>
    <row r="16" spans="1:28" s="293" customFormat="1" ht="12.75" hidden="1" customHeight="1">
      <c r="A16" s="183"/>
      <c r="B16" s="183"/>
      <c r="C16" s="183"/>
      <c r="K16" s="1632" t="s">
        <v>3915</v>
      </c>
      <c r="L16" s="1631"/>
      <c r="N16" s="303"/>
      <c r="O16" s="183"/>
      <c r="P16" s="180"/>
      <c r="Q16" s="4848">
        <v>0.15</v>
      </c>
      <c r="R16" s="4849"/>
      <c r="S16" s="180"/>
      <c r="T16" s="180"/>
      <c r="U16" s="180"/>
      <c r="AA16" s="523"/>
      <c r="AB16" s="523"/>
    </row>
    <row r="17" spans="1:28" s="293" customFormat="1" ht="12.75" hidden="1" customHeight="1">
      <c r="A17" s="183"/>
      <c r="B17" s="183"/>
      <c r="C17" s="183"/>
      <c r="K17" s="1632" t="s">
        <v>3916</v>
      </c>
      <c r="L17" s="1631"/>
      <c r="N17" s="303"/>
      <c r="O17" s="183"/>
      <c r="P17" s="180"/>
      <c r="Q17" s="4848">
        <v>0.1</v>
      </c>
      <c r="R17" s="4849"/>
      <c r="S17" s="180"/>
      <c r="T17" s="180"/>
      <c r="U17" s="180"/>
      <c r="AA17" s="523"/>
      <c r="AB17" s="523"/>
    </row>
    <row r="18" spans="1:28" s="293" customFormat="1" ht="12.75" hidden="1" customHeight="1">
      <c r="A18" s="183"/>
      <c r="B18" s="183"/>
      <c r="C18" s="183"/>
      <c r="K18" s="1632" t="s">
        <v>3917</v>
      </c>
      <c r="L18" s="1631"/>
      <c r="N18" s="303"/>
      <c r="O18" s="183"/>
      <c r="P18" s="180"/>
      <c r="Q18" s="4846">
        <v>0.1</v>
      </c>
      <c r="R18" s="4847"/>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21">
        <v>1500</v>
      </c>
      <c r="R44" s="4822"/>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21">
        <v>1500</v>
      </c>
      <c r="R45" s="4822"/>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21">
        <v>1500</v>
      </c>
      <c r="R46" s="4822"/>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21">
        <v>1500</v>
      </c>
      <c r="R47" s="4822"/>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21">
        <v>6500</v>
      </c>
      <c r="R48" s="4822"/>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21">
        <v>5500</v>
      </c>
      <c r="R49" s="4822"/>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21">
        <v>500</v>
      </c>
      <c r="R51" s="4822"/>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21">
        <v>1500</v>
      </c>
      <c r="R52" s="482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855">
        <v>0.08</v>
      </c>
      <c r="R54" s="4855"/>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21"/>
      <c r="R55" s="4822"/>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21">
        <v>1500</v>
      </c>
      <c r="R56" s="482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21">
        <v>1000</v>
      </c>
      <c r="R58" s="4822"/>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21">
        <v>800</v>
      </c>
      <c r="R59" s="4822"/>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40">
        <v>750</v>
      </c>
      <c r="R61" s="4841"/>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21">
        <v>3000</v>
      </c>
      <c r="R62" s="4822"/>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17">
        <v>1150000</v>
      </c>
      <c r="R104" s="4817"/>
      <c r="S104" s="180"/>
      <c r="T104" s="180"/>
      <c r="U104" s="180"/>
      <c r="V104" s="916"/>
      <c r="W104" s="916"/>
      <c r="X104" s="184"/>
      <c r="AA104" s="523"/>
      <c r="AB104" s="523"/>
    </row>
    <row r="105" spans="1:28" s="293" customFormat="1" ht="11.45" customHeight="1">
      <c r="A105" s="183"/>
      <c r="B105" s="183"/>
      <c r="C105" s="183"/>
      <c r="D105" s="180"/>
      <c r="E105" s="180"/>
      <c r="F105" s="183"/>
      <c r="G105" s="183" t="s">
        <v>6510</v>
      </c>
      <c r="H105" s="183" t="s">
        <v>6103</v>
      </c>
      <c r="J105" s="183" t="s">
        <v>6521</v>
      </c>
      <c r="K105" s="183"/>
      <c r="L105" s="183"/>
      <c r="M105" s="183"/>
      <c r="O105" s="183" t="s">
        <v>6515</v>
      </c>
      <c r="P105" s="180"/>
      <c r="Q105" s="4817">
        <v>1150000</v>
      </c>
      <c r="R105" s="4817"/>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6513</v>
      </c>
      <c r="I106" s="180"/>
      <c r="J106" s="183" t="s">
        <v>6521</v>
      </c>
      <c r="K106" s="183"/>
      <c r="O106" s="183" t="s">
        <v>6516</v>
      </c>
      <c r="Q106" s="4817">
        <v>1035000</v>
      </c>
      <c r="R106" s="4817"/>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6511</v>
      </c>
      <c r="I107" s="180"/>
      <c r="J107" s="183" t="s">
        <v>6521</v>
      </c>
      <c r="K107" s="183"/>
      <c r="O107" s="183" t="s">
        <v>6515</v>
      </c>
      <c r="Q107" s="4835">
        <v>1035000</v>
      </c>
      <c r="R107" s="4836"/>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6521</v>
      </c>
      <c r="K108" s="183"/>
      <c r="L108" s="183"/>
      <c r="M108" s="183"/>
      <c r="O108" s="183" t="s">
        <v>6517</v>
      </c>
      <c r="P108" s="180"/>
      <c r="Q108" s="4830">
        <v>1150000</v>
      </c>
      <c r="R108" s="4830"/>
      <c r="S108" s="299"/>
      <c r="T108" s="299"/>
      <c r="U108" s="180"/>
      <c r="V108" s="970"/>
      <c r="W108" s="970"/>
      <c r="X108" s="970"/>
      <c r="AA108" s="523"/>
      <c r="AB108" s="523"/>
    </row>
    <row r="109" spans="1:28" s="293" customFormat="1" ht="11.45" customHeight="1">
      <c r="A109" s="183"/>
      <c r="B109" s="183"/>
      <c r="C109" s="183"/>
      <c r="D109" s="180"/>
      <c r="E109" s="180"/>
      <c r="G109" s="183" t="s">
        <v>6520</v>
      </c>
      <c r="H109" s="183"/>
      <c r="I109" s="180"/>
      <c r="J109" s="183" t="s">
        <v>6522</v>
      </c>
      <c r="K109" s="183"/>
      <c r="L109" s="183"/>
      <c r="M109" s="183"/>
      <c r="N109" s="183"/>
      <c r="O109" s="183"/>
      <c r="P109" s="180"/>
      <c r="Q109" s="4831"/>
      <c r="R109" s="4832"/>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28">
        <v>4000000</v>
      </c>
      <c r="R110" s="4828"/>
      <c r="S110" s="299"/>
      <c r="T110" s="299"/>
      <c r="U110" s="180"/>
      <c r="V110" s="970"/>
      <c r="W110" s="970"/>
      <c r="X110" s="970"/>
      <c r="AA110" s="523"/>
      <c r="AB110" s="523"/>
    </row>
    <row r="111" spans="1:28" s="293" customFormat="1" ht="11.45" customHeight="1">
      <c r="A111" s="183"/>
      <c r="B111" s="183"/>
      <c r="C111" s="183"/>
      <c r="D111" s="180"/>
      <c r="E111" s="180"/>
      <c r="F111" s="183"/>
      <c r="G111" s="183" t="s">
        <v>6519</v>
      </c>
      <c r="H111" s="180"/>
      <c r="I111" s="180"/>
      <c r="J111" s="183" t="s">
        <v>6521</v>
      </c>
      <c r="K111" s="183"/>
      <c r="O111" s="183" t="s">
        <v>6515</v>
      </c>
      <c r="Q111" s="4833">
        <v>1035000</v>
      </c>
      <c r="R111" s="4834"/>
      <c r="S111" s="299"/>
      <c r="T111" s="299"/>
      <c r="U111" s="180"/>
      <c r="V111" s="970"/>
      <c r="W111" s="970"/>
      <c r="X111" s="970"/>
      <c r="AA111" s="523"/>
      <c r="AB111" s="523"/>
    </row>
    <row r="112" spans="1:28" ht="12.75" customHeight="1">
      <c r="A112" s="298" t="s">
        <v>2512</v>
      </c>
      <c r="J112" s="183" t="s">
        <v>2446</v>
      </c>
      <c r="Q112" s="4809" t="s">
        <v>6106</v>
      </c>
      <c r="R112" s="4809"/>
    </row>
    <row r="113" spans="1:28" ht="11.25" customHeight="1">
      <c r="F113" s="183" t="s">
        <v>2393</v>
      </c>
      <c r="G113" s="183"/>
      <c r="H113" s="183" t="s">
        <v>6105</v>
      </c>
      <c r="I113" s="180"/>
      <c r="J113" s="4816">
        <v>0.35</v>
      </c>
      <c r="K113" s="4816"/>
      <c r="L113" s="183"/>
      <c r="M113" s="183"/>
      <c r="N113" s="183"/>
      <c r="O113" s="183"/>
      <c r="P113" s="180"/>
      <c r="Q113" s="4828">
        <v>1035000</v>
      </c>
      <c r="R113" s="4828"/>
    </row>
    <row r="114" spans="1:28" ht="11.25" customHeight="1">
      <c r="A114" s="298"/>
      <c r="F114" s="183" t="s">
        <v>6104</v>
      </c>
      <c r="G114" s="183"/>
      <c r="H114" s="183" t="s">
        <v>6105</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6105</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3404</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2401</v>
      </c>
      <c r="K139" s="994" t="s">
        <v>6731</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6732</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6732</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6733</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6734</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6732</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6735</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6732</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6732</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6732</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6734</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6732</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6733</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6732</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6732</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6732</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6732</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6732</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6732</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6732</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6735</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6732</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6732</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6736</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6732</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6733</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6737</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6735</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6734</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6735</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6732</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6732</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6738</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6732</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6732</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6734</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6732</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6732</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6739</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6740</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6733</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6732</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4062</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3966</v>
      </c>
      <c r="D298" s="4820" t="s">
        <v>3967</v>
      </c>
      <c r="E298" s="4820" t="s">
        <v>3968</v>
      </c>
      <c r="F298" s="4820" t="s">
        <v>3969</v>
      </c>
      <c r="G298" s="4819" t="s">
        <v>3966</v>
      </c>
      <c r="H298" s="4820" t="s">
        <v>3967</v>
      </c>
      <c r="I298" s="4820" t="s">
        <v>3968</v>
      </c>
      <c r="J298" s="4820" t="s">
        <v>3969</v>
      </c>
      <c r="K298"/>
      <c r="L298" s="4819" t="s">
        <v>3966</v>
      </c>
      <c r="M298" s="4820" t="s">
        <v>3967</v>
      </c>
      <c r="N298" s="4820" t="s">
        <v>3968</v>
      </c>
      <c r="O298" s="4820"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6093</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Cypress Reserve, Adel, Cook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73" t="str">
        <f>'Part I-Project Identification'!$A$6</f>
        <v>May 12 2022 Core Application</v>
      </c>
      <c r="P4" s="3474"/>
      <c r="Q4" s="3474"/>
      <c r="R4" s="3474"/>
      <c r="S4" s="3475"/>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42" t="s">
        <v>87</v>
      </c>
      <c r="I6" s="3393"/>
      <c r="J6" s="3393"/>
      <c r="K6" s="3393"/>
      <c r="L6" s="3393"/>
      <c r="M6" s="3393"/>
      <c r="N6" s="3394"/>
      <c r="O6" s="343" t="s">
        <v>1848</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2062</v>
      </c>
      <c r="J9" s="3476"/>
      <c r="K9" s="3477"/>
      <c r="L9" s="345" t="s">
        <v>3198</v>
      </c>
      <c r="M9" s="3478"/>
      <c r="N9" s="3479"/>
      <c r="O9" s="343" t="s">
        <v>1838</v>
      </c>
      <c r="P9" s="345"/>
      <c r="Q9" s="3466"/>
      <c r="R9" s="3467"/>
      <c r="S9" s="3468"/>
      <c r="Z9" s="2246">
        <v>9</v>
      </c>
    </row>
    <row r="10" spans="1:27" s="315" customFormat="1" ht="11.25" customHeight="1">
      <c r="D10" s="344"/>
      <c r="E10" s="320" t="s">
        <v>3464</v>
      </c>
      <c r="H10" s="3457"/>
      <c r="I10" s="3480"/>
      <c r="J10" s="909"/>
      <c r="K10" s="346" t="s">
        <v>1843</v>
      </c>
      <c r="L10" s="3390"/>
      <c r="M10" s="3391"/>
      <c r="N10" s="3391"/>
      <c r="O10" s="3351"/>
      <c r="P10" s="3351"/>
      <c r="Q10" s="3391"/>
      <c r="R10" s="3391"/>
      <c r="S10" s="3392"/>
      <c r="Z10" s="2245">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2"/>
      <c r="I15" s="3393"/>
      <c r="J15" s="3393"/>
      <c r="K15" s="3393"/>
      <c r="L15" s="3393"/>
      <c r="M15" s="3393"/>
      <c r="N15" s="3394"/>
      <c r="O15" s="343" t="s">
        <v>1848</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2459</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2062</v>
      </c>
      <c r="L18" s="3335"/>
      <c r="M18" s="3469"/>
      <c r="N18" s="345"/>
      <c r="O18" s="343" t="s">
        <v>1838</v>
      </c>
      <c r="P18" s="345"/>
      <c r="Q18" s="3466"/>
      <c r="R18" s="3467"/>
      <c r="S18" s="3468"/>
      <c r="Z18" s="2246">
        <v>18</v>
      </c>
    </row>
    <row r="19" spans="4:26" s="315" customFormat="1" ht="11.25" customHeight="1">
      <c r="D19" s="344"/>
      <c r="E19" s="320" t="s">
        <v>3464</v>
      </c>
      <c r="H19" s="3457"/>
      <c r="I19" s="3458"/>
      <c r="J19" s="338"/>
      <c r="K19" s="346" t="s">
        <v>1843</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2"/>
      <c r="I21" s="3393"/>
      <c r="J21" s="3393"/>
      <c r="K21" s="3393"/>
      <c r="L21" s="3393"/>
      <c r="M21" s="3393"/>
      <c r="N21" s="3394"/>
      <c r="O21" s="343" t="s">
        <v>1848</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2459</v>
      </c>
      <c r="L23" s="3460"/>
      <c r="M23" s="3461"/>
      <c r="N23" s="3389"/>
      <c r="O23" s="343" t="s">
        <v>1601</v>
      </c>
      <c r="P23" s="345"/>
      <c r="Q23" s="3466"/>
      <c r="R23" s="3467"/>
      <c r="S23" s="3468"/>
      <c r="Z23" s="2246">
        <v>23</v>
      </c>
    </row>
    <row r="24" spans="4:26" s="315" customFormat="1" ht="11.25" customHeight="1">
      <c r="E24" s="320" t="s">
        <v>1672</v>
      </c>
      <c r="H24" s="1270"/>
      <c r="I24" s="345"/>
      <c r="J24" s="345"/>
      <c r="K24" s="861" t="s">
        <v>2062</v>
      </c>
      <c r="L24" s="3335"/>
      <c r="M24" s="3469"/>
      <c r="N24" s="345"/>
      <c r="O24" s="343" t="s">
        <v>1838</v>
      </c>
      <c r="P24" s="345"/>
      <c r="Q24" s="3466"/>
      <c r="R24" s="3467"/>
      <c r="S24" s="3468"/>
      <c r="Z24" s="2246">
        <v>24</v>
      </c>
    </row>
    <row r="25" spans="4:26" s="315" customFormat="1" ht="11.25" customHeight="1">
      <c r="D25" s="344"/>
      <c r="E25" s="320" t="s">
        <v>3464</v>
      </c>
      <c r="H25" s="3457"/>
      <c r="I25" s="3458"/>
      <c r="J25" s="338"/>
      <c r="K25" s="346" t="s">
        <v>1843</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2"/>
      <c r="I27" s="3393"/>
      <c r="J27" s="3393"/>
      <c r="K27" s="3393"/>
      <c r="L27" s="3393"/>
      <c r="M27" s="3393"/>
      <c r="N27" s="3394"/>
      <c r="O27" s="343" t="s">
        <v>1848</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2459</v>
      </c>
      <c r="L29" s="3460"/>
      <c r="M29" s="3461"/>
      <c r="N29" s="3389"/>
      <c r="O29" s="343" t="s">
        <v>1601</v>
      </c>
      <c r="P29" s="345"/>
      <c r="Q29" s="3466"/>
      <c r="R29" s="3467"/>
      <c r="S29" s="3468"/>
      <c r="Z29" s="2246">
        <v>29</v>
      </c>
    </row>
    <row r="30" spans="4:26" s="315" customFormat="1" ht="11.25" customHeight="1">
      <c r="E30" s="320" t="s">
        <v>1672</v>
      </c>
      <c r="H30" s="1270"/>
      <c r="I30" s="345"/>
      <c r="J30" s="345"/>
      <c r="K30" s="861" t="s">
        <v>2062</v>
      </c>
      <c r="L30" s="3335"/>
      <c r="M30" s="3469"/>
      <c r="N30" s="345"/>
      <c r="O30" s="343" t="s">
        <v>1838</v>
      </c>
      <c r="P30" s="345"/>
      <c r="Q30" s="3466"/>
      <c r="R30" s="3467"/>
      <c r="S30" s="3468"/>
      <c r="Z30" s="2246">
        <v>30</v>
      </c>
    </row>
    <row r="31" spans="4:26" s="315" customFormat="1" ht="11.25" customHeight="1">
      <c r="D31" s="344"/>
      <c r="E31" s="320" t="s">
        <v>3464</v>
      </c>
      <c r="H31" s="3457"/>
      <c r="I31" s="3458"/>
      <c r="J31" s="338"/>
      <c r="K31" s="346" t="s">
        <v>1843</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42"/>
      <c r="I34" s="3393"/>
      <c r="J34" s="3393"/>
      <c r="K34" s="3393"/>
      <c r="L34" s="3393"/>
      <c r="M34" s="3393"/>
      <c r="N34" s="3394"/>
      <c r="O34" s="343" t="s">
        <v>1848</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2459</v>
      </c>
      <c r="L36" s="3460"/>
      <c r="M36" s="3461"/>
      <c r="N36" s="3389"/>
      <c r="O36" s="343" t="s">
        <v>1601</v>
      </c>
      <c r="P36" s="345"/>
      <c r="Q36" s="3466"/>
      <c r="R36" s="3467"/>
      <c r="S36" s="3468"/>
      <c r="Z36" s="2246">
        <v>36</v>
      </c>
    </row>
    <row r="37" spans="3:26" s="315" customFormat="1" ht="11.25" customHeight="1">
      <c r="E37" s="320" t="s">
        <v>1672</v>
      </c>
      <c r="H37" s="1270"/>
      <c r="I37" s="345"/>
      <c r="J37" s="345"/>
      <c r="K37" s="861" t="s">
        <v>2062</v>
      </c>
      <c r="L37" s="3335"/>
      <c r="M37" s="3469"/>
      <c r="N37" s="345"/>
      <c r="O37" s="343" t="s">
        <v>1838</v>
      </c>
      <c r="P37" s="345"/>
      <c r="Q37" s="3466"/>
      <c r="R37" s="3467"/>
      <c r="S37" s="3468"/>
      <c r="Z37" s="2246">
        <v>37</v>
      </c>
    </row>
    <row r="38" spans="3:26" s="315" customFormat="1" ht="11.25" customHeight="1">
      <c r="D38" s="344"/>
      <c r="E38" s="320" t="s">
        <v>3464</v>
      </c>
      <c r="H38" s="3457"/>
      <c r="I38" s="3458"/>
      <c r="J38" s="338"/>
      <c r="K38" s="346" t="s">
        <v>1843</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2"/>
      <c r="I40" s="3393"/>
      <c r="J40" s="3393"/>
      <c r="K40" s="3393"/>
      <c r="L40" s="3393"/>
      <c r="M40" s="3393"/>
      <c r="N40" s="3394"/>
      <c r="O40" s="343" t="s">
        <v>1848</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2459</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2062</v>
      </c>
      <c r="L43" s="3335"/>
      <c r="M43" s="3469"/>
      <c r="N43" s="345"/>
      <c r="O43" s="343" t="s">
        <v>1838</v>
      </c>
      <c r="P43" s="345"/>
      <c r="Q43" s="3466"/>
      <c r="R43" s="3467"/>
      <c r="S43" s="3468"/>
      <c r="Z43" s="2246">
        <v>43</v>
      </c>
    </row>
    <row r="44" spans="3:26" s="315" customFormat="1" ht="11.25" customHeight="1">
      <c r="D44" s="344"/>
      <c r="E44" s="320" t="s">
        <v>3464</v>
      </c>
      <c r="H44" s="3457"/>
      <c r="I44" s="3458"/>
      <c r="J44" s="338"/>
      <c r="K44" s="346" t="s">
        <v>1843</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1848</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2459</v>
      </c>
      <c r="L49" s="3460"/>
      <c r="M49" s="3461"/>
      <c r="N49" s="3389"/>
      <c r="O49" s="343" t="s">
        <v>1601</v>
      </c>
      <c r="P49" s="345"/>
      <c r="Q49" s="3466"/>
      <c r="R49" s="3467"/>
      <c r="S49" s="3468"/>
      <c r="Z49" s="2246">
        <v>49</v>
      </c>
    </row>
    <row r="50" spans="1:26" s="315" customFormat="1" ht="11.25" customHeight="1">
      <c r="E50" s="320" t="s">
        <v>1672</v>
      </c>
      <c r="H50" s="1270"/>
      <c r="I50" s="345"/>
      <c r="J50" s="345"/>
      <c r="K50" s="861" t="s">
        <v>2062</v>
      </c>
      <c r="L50" s="3335"/>
      <c r="M50" s="3469"/>
      <c r="N50" s="345"/>
      <c r="O50" s="343" t="s">
        <v>1838</v>
      </c>
      <c r="P50" s="345"/>
      <c r="Q50" s="3466"/>
      <c r="R50" s="3467"/>
      <c r="S50" s="3468"/>
      <c r="Z50" s="2246">
        <v>50</v>
      </c>
    </row>
    <row r="51" spans="1:26" s="315" customFormat="1" ht="11.25" customHeight="1">
      <c r="D51" s="344"/>
      <c r="E51" s="320" t="s">
        <v>3464</v>
      </c>
      <c r="H51" s="3457"/>
      <c r="I51" s="3458"/>
      <c r="J51" s="338"/>
      <c r="K51" s="346" t="s">
        <v>1843</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2"/>
      <c r="I55" s="3393"/>
      <c r="J55" s="3393"/>
      <c r="K55" s="3393"/>
      <c r="L55" s="3393"/>
      <c r="M55" s="3393"/>
      <c r="N55" s="3394"/>
      <c r="O55" s="343" t="s">
        <v>1848</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2459</v>
      </c>
      <c r="L57" s="3460"/>
      <c r="M57" s="3461"/>
      <c r="N57" s="3389"/>
      <c r="O57" s="343" t="s">
        <v>1601</v>
      </c>
      <c r="P57" s="345"/>
      <c r="Q57" s="3466"/>
      <c r="R57" s="3467"/>
      <c r="S57" s="3468"/>
      <c r="Z57" s="2246">
        <v>57</v>
      </c>
    </row>
    <row r="58" spans="1:26" s="315" customFormat="1" ht="11.25" customHeight="1">
      <c r="E58" s="320" t="s">
        <v>1672</v>
      </c>
      <c r="H58" s="1270"/>
      <c r="I58" s="345"/>
      <c r="J58" s="345"/>
      <c r="K58" s="861" t="s">
        <v>2062</v>
      </c>
      <c r="L58" s="3335"/>
      <c r="M58" s="3469"/>
      <c r="N58" s="345"/>
      <c r="O58" s="343" t="s">
        <v>1838</v>
      </c>
      <c r="P58" s="345"/>
      <c r="Q58" s="3466"/>
      <c r="R58" s="3467"/>
      <c r="S58" s="3468"/>
      <c r="Z58" s="2246">
        <v>58</v>
      </c>
    </row>
    <row r="59" spans="1:26" s="315" customFormat="1" ht="11.25" customHeight="1">
      <c r="D59" s="344"/>
      <c r="E59" s="320" t="s">
        <v>3464</v>
      </c>
      <c r="H59" s="3457"/>
      <c r="I59" s="3458"/>
      <c r="J59" s="338"/>
      <c r="K59" s="346" t="s">
        <v>1843</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2"/>
      <c r="I61" s="3393"/>
      <c r="J61" s="3393"/>
      <c r="K61" s="3393"/>
      <c r="L61" s="3393"/>
      <c r="M61" s="3393"/>
      <c r="N61" s="3394"/>
      <c r="O61" s="343" t="s">
        <v>1848</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2459</v>
      </c>
      <c r="L63" s="3460"/>
      <c r="M63" s="3461"/>
      <c r="N63" s="3389"/>
      <c r="O63" s="343" t="s">
        <v>1601</v>
      </c>
      <c r="P63" s="345"/>
      <c r="Q63" s="3466"/>
      <c r="R63" s="3467"/>
      <c r="S63" s="3468"/>
      <c r="Z63" s="2246">
        <v>63</v>
      </c>
    </row>
    <row r="64" spans="1:26" s="315" customFormat="1" ht="11.25" customHeight="1">
      <c r="E64" s="320" t="s">
        <v>1672</v>
      </c>
      <c r="H64" s="1270"/>
      <c r="I64" s="345"/>
      <c r="J64" s="345"/>
      <c r="K64" s="861" t="s">
        <v>2062</v>
      </c>
      <c r="L64" s="3335"/>
      <c r="M64" s="3469"/>
      <c r="N64" s="345"/>
      <c r="O64" s="343" t="s">
        <v>1838</v>
      </c>
      <c r="P64" s="345"/>
      <c r="Q64" s="3466"/>
      <c r="R64" s="3467"/>
      <c r="S64" s="3468"/>
      <c r="Z64" s="2246">
        <v>64</v>
      </c>
    </row>
    <row r="65" spans="1:26" s="315" customFormat="1" ht="11.25" customHeight="1">
      <c r="D65" s="344"/>
      <c r="E65" s="320" t="s">
        <v>3464</v>
      </c>
      <c r="H65" s="3457"/>
      <c r="I65" s="3458"/>
      <c r="J65" s="338"/>
      <c r="K65" s="346" t="s">
        <v>1843</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1848</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2459</v>
      </c>
      <c r="L69" s="3460"/>
      <c r="M69" s="3461"/>
      <c r="N69" s="3389"/>
      <c r="O69" s="343" t="s">
        <v>1601</v>
      </c>
      <c r="P69" s="345"/>
      <c r="Q69" s="3466"/>
      <c r="R69" s="3467"/>
      <c r="S69" s="3468"/>
      <c r="Z69" s="2245">
        <v>69</v>
      </c>
    </row>
    <row r="70" spans="1:26" s="315" customFormat="1" ht="11.25" customHeight="1">
      <c r="E70" s="320" t="s">
        <v>1672</v>
      </c>
      <c r="H70" s="1270"/>
      <c r="I70" s="345"/>
      <c r="J70" s="345"/>
      <c r="K70" s="861" t="s">
        <v>2062</v>
      </c>
      <c r="L70" s="3335"/>
      <c r="M70" s="3469"/>
      <c r="N70" s="345"/>
      <c r="O70" s="343" t="s">
        <v>1838</v>
      </c>
      <c r="P70" s="345"/>
      <c r="Q70" s="3466"/>
      <c r="R70" s="3467"/>
      <c r="S70" s="3468"/>
      <c r="Z70" s="2246">
        <v>70</v>
      </c>
    </row>
    <row r="71" spans="1:26" s="315" customFormat="1" ht="11.25" customHeight="1">
      <c r="D71" s="344"/>
      <c r="E71" s="320" t="s">
        <v>3464</v>
      </c>
      <c r="H71" s="3457"/>
      <c r="I71" s="3458"/>
      <c r="J71" s="338"/>
      <c r="K71" s="346" t="s">
        <v>1843</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2"/>
      <c r="I73" s="3393"/>
      <c r="J73" s="3393"/>
      <c r="K73" s="3393"/>
      <c r="L73" s="3393"/>
      <c r="M73" s="3393"/>
      <c r="N73" s="3394"/>
      <c r="O73" s="343" t="s">
        <v>1848</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2459</v>
      </c>
      <c r="L75" s="3460"/>
      <c r="M75" s="3461"/>
      <c r="N75" s="3389"/>
      <c r="O75" s="343" t="s">
        <v>1601</v>
      </c>
      <c r="P75" s="345"/>
      <c r="Q75" s="3466"/>
      <c r="R75" s="3467"/>
      <c r="S75" s="3468"/>
      <c r="Z75" s="2246">
        <v>75</v>
      </c>
    </row>
    <row r="76" spans="1:26" s="315" customFormat="1" ht="11.25" customHeight="1">
      <c r="E76" s="320" t="s">
        <v>1672</v>
      </c>
      <c r="H76" s="1270"/>
      <c r="I76" s="345"/>
      <c r="J76" s="345"/>
      <c r="K76" s="861" t="s">
        <v>2062</v>
      </c>
      <c r="L76" s="3335"/>
      <c r="M76" s="3469"/>
      <c r="N76" s="345"/>
      <c r="O76" s="343" t="s">
        <v>1838</v>
      </c>
      <c r="P76" s="345"/>
      <c r="Q76" s="3466"/>
      <c r="R76" s="3467"/>
      <c r="S76" s="3468"/>
      <c r="Z76" s="2246">
        <v>76</v>
      </c>
    </row>
    <row r="77" spans="1:26" s="315" customFormat="1" ht="11.25" customHeight="1">
      <c r="D77" s="344"/>
      <c r="E77" s="320" t="s">
        <v>3464</v>
      </c>
      <c r="H77" s="3457"/>
      <c r="I77" s="3458"/>
      <c r="J77" s="338"/>
      <c r="K77" s="346" t="s">
        <v>1843</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2"/>
      <c r="I81" s="3393"/>
      <c r="J81" s="3393"/>
      <c r="K81" s="3393"/>
      <c r="L81" s="3393"/>
      <c r="M81" s="3393"/>
      <c r="N81" s="3394"/>
      <c r="O81" s="343" t="s">
        <v>1848</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2459</v>
      </c>
      <c r="L83" s="3460"/>
      <c r="M83" s="3461"/>
      <c r="N83" s="3389"/>
      <c r="O83" s="343" t="s">
        <v>1601</v>
      </c>
      <c r="P83" s="345"/>
      <c r="Q83" s="3466"/>
      <c r="R83" s="3467"/>
      <c r="S83" s="3468"/>
      <c r="Z83" s="2246">
        <v>83</v>
      </c>
    </row>
    <row r="84" spans="2:26" s="315" customFormat="1" ht="11.25" customHeight="1">
      <c r="E84" s="320" t="s">
        <v>1672</v>
      </c>
      <c r="H84" s="1270"/>
      <c r="I84" s="345"/>
      <c r="J84" s="345"/>
      <c r="K84" s="861" t="s">
        <v>2062</v>
      </c>
      <c r="L84" s="3335"/>
      <c r="M84" s="3469"/>
      <c r="N84" s="345"/>
      <c r="O84" s="343" t="s">
        <v>1838</v>
      </c>
      <c r="P84" s="345"/>
      <c r="Q84" s="3466"/>
      <c r="R84" s="3467"/>
      <c r="S84" s="3468"/>
      <c r="Z84" s="2246">
        <v>84</v>
      </c>
    </row>
    <row r="85" spans="2:26" s="315" customFormat="1" ht="11.25" customHeight="1">
      <c r="D85" s="344"/>
      <c r="E85" s="320" t="s">
        <v>3464</v>
      </c>
      <c r="H85" s="3457"/>
      <c r="I85" s="3458"/>
      <c r="J85" s="338"/>
      <c r="K85" s="346" t="s">
        <v>1843</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2"/>
      <c r="I87" s="3393"/>
      <c r="J87" s="3393"/>
      <c r="K87" s="3393"/>
      <c r="L87" s="3393"/>
      <c r="M87" s="3393"/>
      <c r="N87" s="3394"/>
      <c r="O87" s="343" t="s">
        <v>1848</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2459</v>
      </c>
      <c r="L89" s="3460"/>
      <c r="M89" s="3461"/>
      <c r="N89" s="3389"/>
      <c r="O89" s="343" t="s">
        <v>1601</v>
      </c>
      <c r="P89" s="345"/>
      <c r="Q89" s="3466"/>
      <c r="R89" s="3467"/>
      <c r="S89" s="3468"/>
      <c r="Z89" s="2246">
        <v>89</v>
      </c>
    </row>
    <row r="90" spans="2:26" s="315" customFormat="1" ht="11.25" customHeight="1">
      <c r="E90" s="320" t="s">
        <v>1672</v>
      </c>
      <c r="H90" s="1270"/>
      <c r="I90" s="345"/>
      <c r="J90" s="345"/>
      <c r="K90" s="861" t="s">
        <v>2062</v>
      </c>
      <c r="L90" s="3335"/>
      <c r="M90" s="3469"/>
      <c r="N90" s="345"/>
      <c r="O90" s="343" t="s">
        <v>1838</v>
      </c>
      <c r="P90" s="345"/>
      <c r="Q90" s="3466"/>
      <c r="R90" s="3467"/>
      <c r="S90" s="3468"/>
      <c r="Z90" s="2246">
        <v>90</v>
      </c>
    </row>
    <row r="91" spans="2:26" s="315" customFormat="1" ht="11.25" customHeight="1">
      <c r="D91" s="344"/>
      <c r="E91" s="320" t="s">
        <v>3464</v>
      </c>
      <c r="H91" s="3457"/>
      <c r="I91" s="3458"/>
      <c r="J91" s="338"/>
      <c r="K91" s="346" t="s">
        <v>1843</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1848</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2459</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2062</v>
      </c>
      <c r="L96" s="3335"/>
      <c r="M96" s="3469"/>
      <c r="N96" s="345"/>
      <c r="O96" s="343" t="s">
        <v>1838</v>
      </c>
      <c r="P96" s="345"/>
      <c r="Q96" s="3466"/>
      <c r="R96" s="3467"/>
      <c r="S96" s="3468"/>
      <c r="Z96" s="2246">
        <v>96</v>
      </c>
    </row>
    <row r="97" spans="2:26" s="315" customFormat="1" ht="11.25" customHeight="1">
      <c r="D97" s="344"/>
      <c r="E97" s="320" t="s">
        <v>3464</v>
      </c>
      <c r="H97" s="3457"/>
      <c r="I97" s="3458"/>
      <c r="J97" s="338"/>
      <c r="K97" s="346" t="s">
        <v>1843</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2"/>
      <c r="I99" s="3393"/>
      <c r="J99" s="3393"/>
      <c r="K99" s="3393"/>
      <c r="L99" s="3393"/>
      <c r="M99" s="3393"/>
      <c r="N99" s="3394"/>
      <c r="O99" s="343" t="s">
        <v>1848</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2459</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2062</v>
      </c>
      <c r="L102" s="3335"/>
      <c r="M102" s="3469"/>
      <c r="N102" s="345"/>
      <c r="O102" s="343" t="s">
        <v>1838</v>
      </c>
      <c r="P102" s="345"/>
      <c r="Q102" s="3466"/>
      <c r="R102" s="3467"/>
      <c r="S102" s="3468"/>
      <c r="Z102" s="2245">
        <v>102</v>
      </c>
    </row>
    <row r="103" spans="2:26" ht="11.25" customHeight="1">
      <c r="E103" s="320" t="s">
        <v>3464</v>
      </c>
      <c r="F103" s="315"/>
      <c r="G103" s="315"/>
      <c r="H103" s="3457"/>
      <c r="I103" s="3458"/>
      <c r="J103" s="338"/>
      <c r="K103" s="346" t="s">
        <v>1843</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1848</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2459</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2062</v>
      </c>
      <c r="L108" s="3335"/>
      <c r="M108" s="3469"/>
      <c r="N108" s="345"/>
      <c r="O108" s="343" t="s">
        <v>1838</v>
      </c>
      <c r="P108" s="345"/>
      <c r="Q108" s="3466"/>
      <c r="R108" s="3467"/>
      <c r="S108" s="3468"/>
      <c r="Z108" s="2246">
        <v>108</v>
      </c>
    </row>
    <row r="109" spans="2:26" ht="11.25" customHeight="1">
      <c r="E109" s="320" t="s">
        <v>3464</v>
      </c>
      <c r="F109" s="315"/>
      <c r="G109" s="315"/>
      <c r="H109" s="3457"/>
      <c r="I109" s="3458"/>
      <c r="J109" s="338"/>
      <c r="K109" s="346" t="s">
        <v>1843</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1848</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2459</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2062</v>
      </c>
      <c r="L114" s="3335"/>
      <c r="M114" s="3469"/>
      <c r="N114" s="345"/>
      <c r="O114" s="343" t="s">
        <v>1838</v>
      </c>
      <c r="P114" s="345"/>
      <c r="Q114" s="3466"/>
      <c r="R114" s="3467"/>
      <c r="S114" s="3468"/>
      <c r="Z114" s="2246">
        <v>114</v>
      </c>
    </row>
    <row r="115" spans="1:26" s="315" customFormat="1" ht="11.25" customHeight="1">
      <c r="D115" s="361"/>
      <c r="E115" s="320" t="s">
        <v>3464</v>
      </c>
      <c r="H115" s="3457"/>
      <c r="I115" s="3458"/>
      <c r="J115" s="338"/>
      <c r="K115" s="346" t="s">
        <v>1843</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6473</v>
      </c>
      <c r="H120" s="3342"/>
      <c r="I120" s="3343"/>
      <c r="J120" s="3344"/>
      <c r="K120" s="346" t="s">
        <v>1671</v>
      </c>
      <c r="L120" s="3342"/>
      <c r="M120" s="3393"/>
      <c r="N120" s="3394"/>
      <c r="O120" s="360" t="s">
        <v>3144</v>
      </c>
      <c r="P120" s="345"/>
      <c r="Q120" s="3340"/>
      <c r="R120" s="3395"/>
      <c r="S120" s="3396"/>
      <c r="Z120" s="2246">
        <v>120</v>
      </c>
    </row>
    <row r="121" spans="1:26" s="315" customFormat="1" ht="11.25" customHeight="1">
      <c r="C121" s="317"/>
      <c r="D121" s="344"/>
      <c r="E121" s="320" t="s">
        <v>6229</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2062</v>
      </c>
      <c r="J122" s="3388"/>
      <c r="K122" s="3389"/>
      <c r="L122" s="346" t="s">
        <v>1843</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42"/>
      <c r="I124" s="3343"/>
      <c r="J124" s="3344"/>
      <c r="K124" s="346" t="s">
        <v>1671</v>
      </c>
      <c r="L124" s="3342"/>
      <c r="M124" s="3393"/>
      <c r="N124" s="3394"/>
      <c r="O124" s="360" t="s">
        <v>3144</v>
      </c>
      <c r="P124" s="345"/>
      <c r="Q124" s="3340"/>
      <c r="R124" s="3395"/>
      <c r="S124" s="3396"/>
      <c r="Z124" s="2246">
        <v>124</v>
      </c>
    </row>
    <row r="125" spans="1:26" s="315" customFormat="1" ht="11.25" hidden="1" customHeight="1">
      <c r="C125" s="317"/>
      <c r="D125" s="344"/>
      <c r="E125" s="2193" t="s">
        <v>6229</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2062</v>
      </c>
      <c r="J126" s="3388"/>
      <c r="K126" s="3389"/>
      <c r="L126" s="346" t="s">
        <v>1843</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42"/>
      <c r="I128" s="3343"/>
      <c r="J128" s="3344"/>
      <c r="K128" s="346" t="s">
        <v>1671</v>
      </c>
      <c r="L128" s="3342"/>
      <c r="M128" s="3393"/>
      <c r="N128" s="3394"/>
      <c r="O128" s="360" t="s">
        <v>3144</v>
      </c>
      <c r="P128" s="345"/>
      <c r="Q128" s="3340"/>
      <c r="R128" s="3395"/>
      <c r="S128" s="3396"/>
      <c r="Z128" s="2246">
        <v>128</v>
      </c>
    </row>
    <row r="129" spans="3:26" s="315" customFormat="1" ht="11.25" hidden="1" customHeight="1">
      <c r="C129" s="317"/>
      <c r="D129" s="344"/>
      <c r="E129" s="2193" t="s">
        <v>6229</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2062</v>
      </c>
      <c r="J130" s="3388"/>
      <c r="K130" s="3389"/>
      <c r="L130" s="346" t="s">
        <v>1843</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42"/>
      <c r="I132" s="3343"/>
      <c r="J132" s="3344"/>
      <c r="K132" s="346" t="s">
        <v>1671</v>
      </c>
      <c r="L132" s="3342"/>
      <c r="M132" s="3393"/>
      <c r="N132" s="3394"/>
      <c r="O132" s="360" t="s">
        <v>3144</v>
      </c>
      <c r="P132" s="345"/>
      <c r="Q132" s="3340"/>
      <c r="R132" s="3395"/>
      <c r="S132" s="3396"/>
      <c r="Z132" s="2246">
        <v>132</v>
      </c>
    </row>
    <row r="133" spans="3:26" s="315" customFormat="1" ht="11.25" hidden="1" customHeight="1">
      <c r="C133" s="317"/>
      <c r="D133" s="344"/>
      <c r="E133" s="2193" t="s">
        <v>6229</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2062</v>
      </c>
      <c r="J134" s="3388"/>
      <c r="K134" s="3389"/>
      <c r="L134" s="346" t="s">
        <v>1843</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42"/>
      <c r="I136" s="3343"/>
      <c r="J136" s="3344"/>
      <c r="K136" s="346" t="s">
        <v>1671</v>
      </c>
      <c r="L136" s="3342"/>
      <c r="M136" s="3393"/>
      <c r="N136" s="3394"/>
      <c r="O136" s="360" t="s">
        <v>3144</v>
      </c>
      <c r="P136" s="345"/>
      <c r="Q136" s="3340"/>
      <c r="R136" s="3395"/>
      <c r="S136" s="3396"/>
      <c r="Z136" s="2245">
        <v>136</v>
      </c>
    </row>
    <row r="137" spans="3:26" s="315" customFormat="1" ht="11.25" hidden="1" customHeight="1">
      <c r="C137" s="317"/>
      <c r="D137" s="344"/>
      <c r="E137" s="2193" t="s">
        <v>6229</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2062</v>
      </c>
      <c r="J138" s="3388"/>
      <c r="K138" s="3389"/>
      <c r="L138" s="346" t="s">
        <v>1843</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42"/>
      <c r="I140" s="3343"/>
      <c r="J140" s="3344"/>
      <c r="K140" s="346" t="s">
        <v>1671</v>
      </c>
      <c r="L140" s="3342"/>
      <c r="M140" s="3393"/>
      <c r="N140" s="3394"/>
      <c r="O140" s="360" t="s">
        <v>3144</v>
      </c>
      <c r="P140" s="345"/>
      <c r="Q140" s="3340"/>
      <c r="R140" s="3395"/>
      <c r="S140" s="3396"/>
      <c r="Z140" s="2246">
        <v>140</v>
      </c>
    </row>
    <row r="141" spans="3:26" s="315" customFormat="1" ht="11.25" hidden="1" customHeight="1">
      <c r="C141" s="317"/>
      <c r="D141" s="344"/>
      <c r="E141" s="2193" t="s">
        <v>6229</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2062</v>
      </c>
      <c r="J142" s="3388"/>
      <c r="K142" s="3389"/>
      <c r="L142" s="346" t="s">
        <v>1843</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6471</v>
      </c>
      <c r="H144" s="3342"/>
      <c r="I144" s="3343"/>
      <c r="J144" s="3344"/>
      <c r="K144" s="346" t="s">
        <v>1671</v>
      </c>
      <c r="L144" s="3342"/>
      <c r="M144" s="3393"/>
      <c r="N144" s="3394"/>
      <c r="O144" s="360" t="s">
        <v>3144</v>
      </c>
      <c r="P144" s="345"/>
      <c r="Q144" s="3340"/>
      <c r="R144" s="3395"/>
      <c r="S144" s="3396"/>
      <c r="Z144" s="2246">
        <v>144</v>
      </c>
    </row>
    <row r="145" spans="1:26" s="315" customFormat="1" ht="11.25" customHeight="1">
      <c r="C145" s="317"/>
      <c r="D145" s="344"/>
      <c r="E145" s="2074" t="s">
        <v>6229</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2062</v>
      </c>
      <c r="J146" s="3388"/>
      <c r="K146" s="3389"/>
      <c r="L146" s="346" t="s">
        <v>1843</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6472</v>
      </c>
      <c r="H148" s="3342"/>
      <c r="I148" s="3343"/>
      <c r="J148" s="3344"/>
      <c r="K148" s="346" t="s">
        <v>1671</v>
      </c>
      <c r="L148" s="3342"/>
      <c r="M148" s="3393"/>
      <c r="N148" s="3394"/>
      <c r="O148" s="360" t="s">
        <v>3144</v>
      </c>
      <c r="P148" s="345"/>
      <c r="Q148" s="3340"/>
      <c r="R148" s="3395"/>
      <c r="S148" s="3396"/>
      <c r="Z148" s="2246">
        <v>148</v>
      </c>
    </row>
    <row r="149" spans="1:26" s="315" customFormat="1" ht="11.25" customHeight="1">
      <c r="D149" s="344"/>
      <c r="E149" s="2074" t="s">
        <v>6229</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2062</v>
      </c>
      <c r="J150" s="3388"/>
      <c r="K150" s="3389"/>
      <c r="L150" s="346" t="s">
        <v>1843</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397" t="s">
        <v>3299</v>
      </c>
      <c r="B153" s="3397"/>
      <c r="C153" s="3397"/>
      <c r="D153" s="3397"/>
      <c r="E153" s="3397"/>
      <c r="H153" s="1598" t="s">
        <v>2309</v>
      </c>
      <c r="I153" s="3375" t="s">
        <v>6523</v>
      </c>
      <c r="J153" s="3376"/>
      <c r="K153" s="3376"/>
      <c r="L153" s="3376"/>
      <c r="M153" s="3376"/>
      <c r="N153" s="3376"/>
      <c r="O153" s="3376"/>
      <c r="P153" s="3376"/>
      <c r="Q153" s="3376"/>
      <c r="R153" s="3376"/>
      <c r="S153" s="3377"/>
      <c r="Z153" s="2246">
        <v>153</v>
      </c>
    </row>
    <row r="154" spans="1:26" s="315" customFormat="1" ht="15" customHeight="1" thickBot="1">
      <c r="B154" s="2218" t="s">
        <v>1845</v>
      </c>
      <c r="C154" s="339" t="s">
        <v>2522</v>
      </c>
      <c r="E154" s="339"/>
      <c r="H154" s="1539" t="s">
        <v>3843</v>
      </c>
      <c r="I154" s="3483"/>
      <c r="J154" s="3402"/>
      <c r="K154" s="3402"/>
      <c r="L154" s="3402"/>
      <c r="M154" s="3402"/>
      <c r="N154" s="3402"/>
      <c r="O154" s="3402"/>
      <c r="P154" s="3402"/>
      <c r="Q154" s="3402"/>
      <c r="R154" s="3402"/>
      <c r="S154" s="3404"/>
      <c r="U154" s="3299" t="s">
        <v>1884</v>
      </c>
      <c r="V154" s="3299"/>
      <c r="Z154" s="2246">
        <v>154</v>
      </c>
    </row>
    <row r="155" spans="1:26" s="315" customFormat="1" ht="15" customHeight="1" thickBot="1">
      <c r="B155" s="616" t="s">
        <v>1847</v>
      </c>
      <c r="C155" s="511" t="s">
        <v>6227</v>
      </c>
      <c r="E155" s="339"/>
      <c r="H155" s="1539" t="s">
        <v>3843</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2333</v>
      </c>
      <c r="C156" s="511" t="s">
        <v>2558</v>
      </c>
      <c r="E156" s="339"/>
      <c r="H156" s="1539" t="s">
        <v>3843</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2523</v>
      </c>
      <c r="E157" s="339"/>
      <c r="H157" s="1539" t="s">
        <v>3843</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3843</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1742</v>
      </c>
      <c r="C159" s="511" t="s">
        <v>3078</v>
      </c>
      <c r="E159" s="339"/>
      <c r="H159" s="1539" t="s">
        <v>3843</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2524</v>
      </c>
      <c r="E160" s="339"/>
      <c r="H160" s="1539" t="s">
        <v>3843</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3894</v>
      </c>
      <c r="E161" s="339"/>
      <c r="H161" s="1539" t="s">
        <v>3843</v>
      </c>
      <c r="I161" s="3482"/>
      <c r="J161" s="3409"/>
      <c r="K161" s="3409"/>
      <c r="L161" s="3409"/>
      <c r="M161" s="3409"/>
      <c r="N161" s="3409"/>
      <c r="O161" s="3409"/>
      <c r="P161" s="3409"/>
      <c r="Q161" s="3409"/>
      <c r="R161" s="3409"/>
      <c r="S161" s="3411"/>
      <c r="Z161" s="2246">
        <v>161</v>
      </c>
    </row>
    <row r="162" spans="1:26" s="315" customFormat="1" ht="15" customHeight="1" thickBot="1">
      <c r="B162" s="616" t="s">
        <v>3893</v>
      </c>
      <c r="C162" s="3378" t="s">
        <v>6478</v>
      </c>
      <c r="D162" s="3379"/>
      <c r="E162" s="3379"/>
      <c r="F162" s="3379"/>
      <c r="G162" s="3380"/>
      <c r="H162" s="1539" t="s">
        <v>3843</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12" t="s">
        <v>594</v>
      </c>
      <c r="B166" s="3413"/>
      <c r="C166" s="3413"/>
      <c r="D166" s="3413"/>
      <c r="E166" s="3418" t="s">
        <v>3066</v>
      </c>
      <c r="F166" s="3419"/>
      <c r="G166" s="3419"/>
      <c r="H166" s="3419"/>
      <c r="I166" s="3420"/>
      <c r="J166" s="3424" t="s">
        <v>3067</v>
      </c>
      <c r="K166" s="3427" t="s">
        <v>2580</v>
      </c>
      <c r="L166" s="3427" t="s">
        <v>2581</v>
      </c>
      <c r="M166" s="3430" t="s">
        <v>6479</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3221</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2309</v>
      </c>
      <c r="J170" s="3426"/>
      <c r="K170" s="3429"/>
      <c r="L170" s="3428"/>
      <c r="M170" s="1541" t="s">
        <v>2309</v>
      </c>
      <c r="N170" s="3442" t="s">
        <v>2579</v>
      </c>
      <c r="O170" s="3442"/>
      <c r="P170" s="3442"/>
      <c r="Q170" s="3442"/>
      <c r="R170" s="3442"/>
      <c r="S170" s="3443"/>
      <c r="Z170" s="2246">
        <v>170</v>
      </c>
    </row>
    <row r="171" spans="1:26" s="315" customFormat="1" ht="23.25" customHeight="1">
      <c r="A171" s="3398" t="s">
        <v>3061</v>
      </c>
      <c r="B171" s="3399"/>
      <c r="C171" s="3399"/>
      <c r="D171" s="3400"/>
      <c r="E171" s="3401"/>
      <c r="F171" s="3402"/>
      <c r="G171" s="3402"/>
      <c r="H171" s="3402"/>
      <c r="I171" s="828" t="s">
        <v>3843</v>
      </c>
      <c r="J171" s="617" t="s">
        <v>3843</v>
      </c>
      <c r="K171" s="622"/>
      <c r="L171" s="831"/>
      <c r="M171" s="623" t="s">
        <v>3843</v>
      </c>
      <c r="N171" s="3403"/>
      <c r="O171" s="3402"/>
      <c r="P171" s="3402"/>
      <c r="Q171" s="3402"/>
      <c r="R171" s="3402"/>
      <c r="S171" s="3404"/>
      <c r="Z171" s="2245">
        <v>171</v>
      </c>
    </row>
    <row r="172" spans="1:26" s="315" customFormat="1" ht="23.25" customHeight="1">
      <c r="A172" s="3405" t="s">
        <v>3062</v>
      </c>
      <c r="B172" s="3406"/>
      <c r="C172" s="3406"/>
      <c r="D172" s="3407"/>
      <c r="E172" s="3408"/>
      <c r="F172" s="3409"/>
      <c r="G172" s="3409"/>
      <c r="H172" s="3409"/>
      <c r="I172" s="829" t="s">
        <v>3843</v>
      </c>
      <c r="J172" s="618" t="s">
        <v>3843</v>
      </c>
      <c r="K172" s="624"/>
      <c r="L172" s="832"/>
      <c r="M172" s="625" t="s">
        <v>3843</v>
      </c>
      <c r="N172" s="3410"/>
      <c r="O172" s="3409"/>
      <c r="P172" s="3409"/>
      <c r="Q172" s="3409"/>
      <c r="R172" s="3409"/>
      <c r="S172" s="3411"/>
      <c r="U172" s="3299" t="s">
        <v>1884</v>
      </c>
      <c r="V172" s="3299"/>
      <c r="Z172" s="2246">
        <v>172</v>
      </c>
    </row>
    <row r="173" spans="1:26" s="315" customFormat="1" ht="23.25" customHeight="1">
      <c r="A173" s="3405" t="s">
        <v>3063</v>
      </c>
      <c r="B173" s="3406"/>
      <c r="C173" s="3406"/>
      <c r="D173" s="3407"/>
      <c r="E173" s="3408"/>
      <c r="F173" s="3409"/>
      <c r="G173" s="3409"/>
      <c r="H173" s="3409"/>
      <c r="I173" s="829" t="s">
        <v>3843</v>
      </c>
      <c r="J173" s="618" t="s">
        <v>3843</v>
      </c>
      <c r="K173" s="624"/>
      <c r="L173" s="832"/>
      <c r="M173" s="625" t="s">
        <v>3843</v>
      </c>
      <c r="N173" s="3410"/>
      <c r="O173" s="3409"/>
      <c r="P173" s="3409"/>
      <c r="Q173" s="3409"/>
      <c r="R173" s="3409"/>
      <c r="S173" s="3411"/>
      <c r="U173" s="3299"/>
      <c r="V173" s="3299"/>
      <c r="Z173" s="2246">
        <v>173</v>
      </c>
    </row>
    <row r="174" spans="1:26" s="315" customFormat="1" ht="23.25" customHeight="1">
      <c r="A174" s="3405" t="s">
        <v>3064</v>
      </c>
      <c r="B174" s="3406"/>
      <c r="C174" s="3406"/>
      <c r="D174" s="3407"/>
      <c r="E174" s="3408"/>
      <c r="F174" s="3409"/>
      <c r="G174" s="3409"/>
      <c r="H174" s="3409"/>
      <c r="I174" s="829" t="s">
        <v>3843</v>
      </c>
      <c r="J174" s="618" t="s">
        <v>3843</v>
      </c>
      <c r="K174" s="624"/>
      <c r="L174" s="832"/>
      <c r="M174" s="625" t="s">
        <v>3843</v>
      </c>
      <c r="N174" s="3410"/>
      <c r="O174" s="3409"/>
      <c r="P174" s="3409"/>
      <c r="Q174" s="3409"/>
      <c r="R174" s="3409"/>
      <c r="S174" s="3411"/>
      <c r="U174" s="3299"/>
      <c r="V174" s="3299"/>
      <c r="Z174" s="2246">
        <v>174</v>
      </c>
    </row>
    <row r="175" spans="1:26" s="315" customFormat="1" ht="23.25" customHeight="1">
      <c r="A175" s="3405" t="s">
        <v>3065</v>
      </c>
      <c r="B175" s="3406"/>
      <c r="C175" s="3406"/>
      <c r="D175" s="3407"/>
      <c r="E175" s="3408"/>
      <c r="F175" s="3409"/>
      <c r="G175" s="3409"/>
      <c r="H175" s="3409"/>
      <c r="I175" s="829" t="s">
        <v>3843</v>
      </c>
      <c r="J175" s="618" t="s">
        <v>3843</v>
      </c>
      <c r="K175" s="624"/>
      <c r="L175" s="832"/>
      <c r="M175" s="625" t="s">
        <v>3843</v>
      </c>
      <c r="N175" s="3410"/>
      <c r="O175" s="3409"/>
      <c r="P175" s="3409"/>
      <c r="Q175" s="3409"/>
      <c r="R175" s="3409"/>
      <c r="S175" s="3411"/>
      <c r="U175" s="3299"/>
      <c r="V175" s="3299"/>
      <c r="Z175" s="2246">
        <v>175</v>
      </c>
    </row>
    <row r="176" spans="1:26" s="315" customFormat="1" ht="23.25" customHeight="1">
      <c r="A176" s="3405" t="s">
        <v>2570</v>
      </c>
      <c r="B176" s="3406"/>
      <c r="C176" s="3406"/>
      <c r="D176" s="3407"/>
      <c r="E176" s="3408"/>
      <c r="F176" s="3409"/>
      <c r="G176" s="3409"/>
      <c r="H176" s="3409"/>
      <c r="I176" s="829" t="s">
        <v>3843</v>
      </c>
      <c r="J176" s="618" t="s">
        <v>3843</v>
      </c>
      <c r="K176" s="624"/>
      <c r="L176" s="832"/>
      <c r="M176" s="625" t="s">
        <v>3843</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3843</v>
      </c>
      <c r="J177" s="618" t="s">
        <v>3843</v>
      </c>
      <c r="K177" s="624"/>
      <c r="L177" s="832"/>
      <c r="M177" s="625" t="s">
        <v>3843</v>
      </c>
      <c r="N177" s="3410"/>
      <c r="O177" s="3409"/>
      <c r="P177" s="3409"/>
      <c r="Q177" s="3409"/>
      <c r="R177" s="3409"/>
      <c r="S177" s="3411"/>
      <c r="U177" s="3299"/>
      <c r="V177" s="3299"/>
      <c r="Z177" s="2246">
        <v>177</v>
      </c>
    </row>
    <row r="178" spans="1:26" s="315" customFormat="1" ht="23.25" customHeight="1">
      <c r="A178" s="3405" t="s">
        <v>2571</v>
      </c>
      <c r="B178" s="3406"/>
      <c r="C178" s="3406"/>
      <c r="D178" s="3407"/>
      <c r="E178" s="3408"/>
      <c r="F178" s="3409"/>
      <c r="G178" s="3409"/>
      <c r="H178" s="3409"/>
      <c r="I178" s="829" t="s">
        <v>3843</v>
      </c>
      <c r="J178" s="618" t="s">
        <v>3843</v>
      </c>
      <c r="K178" s="624"/>
      <c r="L178" s="832"/>
      <c r="M178" s="625" t="s">
        <v>3843</v>
      </c>
      <c r="N178" s="3410"/>
      <c r="O178" s="3409"/>
      <c r="P178" s="3409"/>
      <c r="Q178" s="3409"/>
      <c r="R178" s="3409"/>
      <c r="S178" s="3411"/>
      <c r="Z178" s="2245">
        <v>178</v>
      </c>
    </row>
    <row r="179" spans="1:26" s="315" customFormat="1" ht="23.25" customHeight="1">
      <c r="A179" s="3405" t="s">
        <v>2572</v>
      </c>
      <c r="B179" s="3406"/>
      <c r="C179" s="3406"/>
      <c r="D179" s="3407"/>
      <c r="E179" s="3408"/>
      <c r="F179" s="3409"/>
      <c r="G179" s="3409"/>
      <c r="H179" s="3409"/>
      <c r="I179" s="829" t="s">
        <v>3843</v>
      </c>
      <c r="J179" s="618" t="s">
        <v>3843</v>
      </c>
      <c r="K179" s="624"/>
      <c r="L179" s="832"/>
      <c r="M179" s="625" t="s">
        <v>3843</v>
      </c>
      <c r="N179" s="3410"/>
      <c r="O179" s="3409"/>
      <c r="P179" s="3409"/>
      <c r="Q179" s="3409"/>
      <c r="R179" s="3409"/>
      <c r="S179" s="3411"/>
      <c r="Z179" s="2246">
        <v>179</v>
      </c>
    </row>
    <row r="180" spans="1:26" s="315" customFormat="1" ht="23.25" customHeight="1">
      <c r="A180" s="3405" t="s">
        <v>2574</v>
      </c>
      <c r="B180" s="3406"/>
      <c r="C180" s="3406"/>
      <c r="D180" s="3407"/>
      <c r="E180" s="3408"/>
      <c r="F180" s="3409"/>
      <c r="G180" s="3409"/>
      <c r="H180" s="3409"/>
      <c r="I180" s="829" t="s">
        <v>3843</v>
      </c>
      <c r="J180" s="618" t="s">
        <v>3843</v>
      </c>
      <c r="K180" s="624"/>
      <c r="L180" s="832"/>
      <c r="M180" s="625" t="s">
        <v>3843</v>
      </c>
      <c r="N180" s="3410"/>
      <c r="O180" s="3409"/>
      <c r="P180" s="3409"/>
      <c r="Q180" s="3409"/>
      <c r="R180" s="3409"/>
      <c r="S180" s="3411"/>
      <c r="Z180" s="2246">
        <v>180</v>
      </c>
    </row>
    <row r="181" spans="1:26" s="315" customFormat="1" ht="23.25" customHeight="1">
      <c r="A181" s="3405" t="s">
        <v>2573</v>
      </c>
      <c r="B181" s="3406"/>
      <c r="C181" s="3406"/>
      <c r="D181" s="3407"/>
      <c r="E181" s="3408"/>
      <c r="F181" s="3409"/>
      <c r="G181" s="3409"/>
      <c r="H181" s="3409"/>
      <c r="I181" s="829" t="s">
        <v>3843</v>
      </c>
      <c r="J181" s="618" t="s">
        <v>3843</v>
      </c>
      <c r="K181" s="624"/>
      <c r="L181" s="832"/>
      <c r="M181" s="625" t="s">
        <v>3843</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3843</v>
      </c>
      <c r="J182" s="618" t="s">
        <v>3843</v>
      </c>
      <c r="K182" s="624"/>
      <c r="L182" s="832"/>
      <c r="M182" s="625" t="s">
        <v>3843</v>
      </c>
      <c r="N182" s="3410"/>
      <c r="O182" s="3409"/>
      <c r="P182" s="3409"/>
      <c r="Q182" s="3409"/>
      <c r="R182" s="3409"/>
      <c r="S182" s="3411"/>
      <c r="Z182" s="2246">
        <v>182</v>
      </c>
    </row>
    <row r="183" spans="1:26" s="315" customFormat="1" ht="23.25" customHeight="1">
      <c r="A183" s="3444" t="s">
        <v>2575</v>
      </c>
      <c r="B183" s="3445"/>
      <c r="C183" s="3445"/>
      <c r="D183" s="3446"/>
      <c r="E183" s="3447"/>
      <c r="F183" s="3448"/>
      <c r="G183" s="3448"/>
      <c r="H183" s="3448"/>
      <c r="I183" s="830" t="s">
        <v>3843</v>
      </c>
      <c r="J183" s="619" t="s">
        <v>3843</v>
      </c>
      <c r="K183" s="626"/>
      <c r="L183" s="833"/>
      <c r="M183" s="627" t="s">
        <v>3843</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Cypress Reserve</v>
      </c>
    </row>
    <row r="3" spans="1:26" s="652" customFormat="1" ht="15" customHeight="1">
      <c r="A3" s="2676" t="str">
        <f>CONCATENATE('Part I-Project Identification'!F30,", ", 'Part I-Project Identification'!J30," County")</f>
        <v>Adel, Cook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1909 Central Parkway SW,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3292</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3269</v>
      </c>
      <c r="I17" s="2695">
        <f>'Part III-A-Uses of Funds'!$J$191</f>
        <v>1035000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6819</v>
      </c>
      <c r="J19" s="2681" t="s">
        <v>6820</v>
      </c>
      <c r="L19" s="2682"/>
      <c r="O19" s="2689" t="str">
        <f>'Part I-Project Identification'!O12</f>
        <v>2022PA-053</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Community Action Partnership of North Alabama, Inc.</v>
      </c>
      <c r="G22" s="2689"/>
      <c r="H22" s="2689"/>
      <c r="I22" s="2702" t="s">
        <v>1671</v>
      </c>
      <c r="J22" s="2689" t="str">
        <f>'Part I-Project Identification'!J15</f>
        <v>Tim Thrasher</v>
      </c>
      <c r="K22" s="2689"/>
      <c r="L22" s="2689"/>
      <c r="M22" s="2701" t="s">
        <v>1839</v>
      </c>
      <c r="N22" s="2689" t="str">
        <f>'Part I-Project Identification'!N15</f>
        <v>CEO</v>
      </c>
      <c r="O22" s="2689"/>
      <c r="P22" s="2689"/>
      <c r="Q22" s="2691"/>
      <c r="R22" s="2691"/>
      <c r="S22" s="2691"/>
      <c r="Z22" s="2682">
        <v>15</v>
      </c>
    </row>
    <row r="23" spans="1:26" s="2702" customFormat="1" ht="12.75" customHeight="1">
      <c r="B23" s="2701" t="s">
        <v>1840</v>
      </c>
      <c r="F23" s="2689" t="str">
        <f>'Part I-Project Identification'!F16</f>
        <v>1909 Central Parkway SW</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Decatur</v>
      </c>
      <c r="G24" s="2689"/>
      <c r="H24" s="2689"/>
      <c r="I24" s="2701" t="s">
        <v>1672</v>
      </c>
      <c r="J24" s="2689" t="str">
        <f>'Part I-Project Identification'!J17</f>
        <v>AL</v>
      </c>
      <c r="M24" s="2704"/>
      <c r="N24" s="2704"/>
      <c r="O24" s="2704"/>
      <c r="P24" s="2704"/>
      <c r="Q24" s="2691"/>
      <c r="R24" s="2691"/>
      <c r="S24" s="2691"/>
      <c r="Z24" s="2682">
        <v>17</v>
      </c>
    </row>
    <row r="25" spans="1:26" s="2702" customFormat="1" ht="12.75" customHeight="1">
      <c r="B25" s="2701" t="s">
        <v>2062</v>
      </c>
      <c r="F25" s="2705">
        <f>'Part I-Project Identification'!F18</f>
        <v>356016822</v>
      </c>
      <c r="G25" s="2705"/>
      <c r="H25" s="2705"/>
      <c r="I25" s="2701" t="s">
        <v>1600</v>
      </c>
      <c r="J25" s="2706">
        <f>'Part I-Project Identification'!J18</f>
        <v>2562603121</v>
      </c>
      <c r="K25" s="2706"/>
      <c r="L25" s="2697" t="s">
        <v>1599</v>
      </c>
      <c r="M25" s="2707">
        <f>'Part I-Project Identification'!M18</f>
        <v>0</v>
      </c>
      <c r="N25" s="2701" t="s">
        <v>1601</v>
      </c>
      <c r="O25" s="2706">
        <f>'Part I-Project Identification'!O18</f>
        <v>2562603121</v>
      </c>
      <c r="P25" s="2706"/>
      <c r="Q25" s="2691"/>
      <c r="R25" s="2691"/>
      <c r="S25" s="2691"/>
      <c r="Z25" s="2682">
        <v>18</v>
      </c>
    </row>
    <row r="26" spans="1:26" s="2702" customFormat="1" ht="12.75" customHeight="1">
      <c r="B26" s="2701" t="s">
        <v>1843</v>
      </c>
      <c r="F26" s="2689" t="str">
        <f>'Part I-Project Identification'!F19</f>
        <v>tim.thrasher@capna.org</v>
      </c>
      <c r="G26" s="2689"/>
      <c r="H26" s="2689"/>
      <c r="I26" s="2689"/>
      <c r="J26" s="2689"/>
      <c r="K26" s="2689"/>
      <c r="N26" s="2701" t="s">
        <v>1838</v>
      </c>
      <c r="O26" s="2706">
        <f>'Part I-Project Identification'!O19</f>
        <v>0</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Community Action Partnership of North Alabama, Inc.</v>
      </c>
      <c r="G28" s="2689"/>
      <c r="H28" s="2689"/>
      <c r="I28" s="2702" t="s">
        <v>1671</v>
      </c>
      <c r="J28" s="2689" t="str">
        <f>'Part I-Project Identification'!J21</f>
        <v>Aron Boldog</v>
      </c>
      <c r="K28" s="2689"/>
      <c r="L28" s="2689"/>
      <c r="M28" s="2701" t="s">
        <v>1839</v>
      </c>
      <c r="N28" s="2689" t="str">
        <f>'Part I-Project Identification'!N21</f>
        <v>Director of Real Estate Development</v>
      </c>
      <c r="O28" s="2689"/>
      <c r="P28" s="2689"/>
      <c r="Q28" s="2691"/>
      <c r="R28" s="2691"/>
      <c r="S28" s="2691"/>
      <c r="Z28" s="2697">
        <v>21</v>
      </c>
    </row>
    <row r="29" spans="1:26" s="2702" customFormat="1" ht="12.75" customHeight="1">
      <c r="B29" s="2701" t="s">
        <v>1840</v>
      </c>
      <c r="F29" s="2689" t="str">
        <f>'Part I-Project Identification'!F22</f>
        <v>1909 Central Parkway SW</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Decatur</v>
      </c>
      <c r="G30" s="2689"/>
      <c r="H30" s="2689"/>
      <c r="I30" s="2701" t="s">
        <v>1672</v>
      </c>
      <c r="J30" s="2710" t="str">
        <f>'Part I-Project Identification'!J23</f>
        <v>AL</v>
      </c>
      <c r="M30" s="2709"/>
      <c r="N30" s="2709"/>
      <c r="O30" s="2709"/>
      <c r="P30" s="2709"/>
      <c r="Q30" s="2691"/>
      <c r="R30" s="2691"/>
      <c r="S30" s="2691"/>
      <c r="Z30" s="2682">
        <v>23</v>
      </c>
    </row>
    <row r="31" spans="1:26" s="2702" customFormat="1" ht="12.75" customHeight="1">
      <c r="B31" s="2701" t="s">
        <v>2062</v>
      </c>
      <c r="F31" s="2705">
        <f>'Part I-Project Identification'!F24</f>
        <v>356016822</v>
      </c>
      <c r="G31" s="2705"/>
      <c r="H31" s="2705"/>
      <c r="I31" s="2701" t="s">
        <v>1600</v>
      </c>
      <c r="J31" s="2706">
        <f>'Part I-Project Identification'!J24</f>
        <v>2562603121</v>
      </c>
      <c r="K31" s="2706"/>
      <c r="L31" s="2697" t="s">
        <v>1599</v>
      </c>
      <c r="M31" s="2707">
        <f>'Part I-Project Identification'!M24</f>
        <v>0</v>
      </c>
      <c r="N31" s="2701" t="s">
        <v>1601</v>
      </c>
      <c r="O31" s="2706">
        <f>'Part I-Project Identification'!O24</f>
        <v>2562603121</v>
      </c>
      <c r="P31" s="2706"/>
      <c r="Q31" s="2691"/>
      <c r="R31" s="2691"/>
      <c r="S31" s="2691"/>
      <c r="Z31" s="2682">
        <v>24</v>
      </c>
    </row>
    <row r="32" spans="1:26" s="2702" customFormat="1" ht="12.75" customHeight="1">
      <c r="B32" s="2701" t="s">
        <v>1843</v>
      </c>
      <c r="F32" s="2689" t="str">
        <f>'Part I-Project Identification'!F25</f>
        <v>aron.boldog@capna.org</v>
      </c>
      <c r="G32" s="2689"/>
      <c r="H32" s="2689"/>
      <c r="I32" s="2689"/>
      <c r="J32" s="2689"/>
      <c r="K32" s="2689"/>
      <c r="N32" s="2701" t="s">
        <v>1838</v>
      </c>
      <c r="O32" s="2706">
        <f>'Part I-Project Identification'!O25</f>
        <v>2565659963</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Cypress Reserve</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Adel</v>
      </c>
      <c r="G37" s="2689"/>
      <c r="H37" s="2689"/>
      <c r="I37" s="2712" t="s">
        <v>576</v>
      </c>
      <c r="J37" s="2689" t="str">
        <f>'Part I-Project Identification'!J30</f>
        <v>Cook</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Unincorporated County</v>
      </c>
      <c r="G38" s="2689"/>
      <c r="H38" s="2689"/>
      <c r="I38" s="2682"/>
      <c r="J38" s="499" t="s">
        <v>6728</v>
      </c>
      <c r="K38" s="2682"/>
      <c r="M38" s="2701" t="s">
        <v>6674</v>
      </c>
      <c r="N38" s="2702"/>
      <c r="O38" s="2689">
        <f>'Part I-Project Identification'!O31</f>
        <v>5.33</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Non-MSA</v>
      </c>
      <c r="O39" s="2689" t="str">
        <f>'Part I-Project Identification'!O32</f>
        <v>Cook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Cypress Reserve,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3198</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6794</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6821</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6797</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6798</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6523</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6800</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Cypress Reserve, Adel, Cook County</v>
      </c>
      <c r="B244" s="2681"/>
      <c r="C244" s="2681"/>
      <c r="D244" s="2681"/>
      <c r="E244" s="2681"/>
      <c r="F244" s="2681"/>
      <c r="G244" s="2681"/>
      <c r="H244" s="2681"/>
      <c r="I244" s="2681"/>
      <c r="J244" s="2681"/>
      <c r="K244" s="2681"/>
      <c r="L244" s="2681"/>
      <c r="M244" s="2681"/>
      <c r="N244" s="2681"/>
      <c r="O244" s="2681"/>
      <c r="P244" s="2681"/>
      <c r="Q244" s="2681"/>
      <c r="S244" s="2719" t="str">
        <f>$A$2</f>
        <v>Cypress Reserve</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f>'Part II-Sources of Funds'!E6</f>
        <v>0</v>
      </c>
      <c r="F248" s="2686" t="s">
        <v>6083</v>
      </c>
      <c r="G248" s="2681"/>
      <c r="I248" s="2756">
        <f>'Part II-Sources of Funds'!I6</f>
        <v>0</v>
      </c>
      <c r="J248" s="2757"/>
      <c r="L248" s="2707">
        <f>'Part II-Sources of Funds'!L6</f>
        <v>0</v>
      </c>
      <c r="M248" s="2686" t="s">
        <v>1438</v>
      </c>
      <c r="Q248" s="2758"/>
      <c r="S248" s="2723"/>
      <c r="T248" s="2723"/>
      <c r="Y248" s="2752"/>
      <c r="Z248" s="2682">
        <v>6</v>
      </c>
      <c r="AZ248" s="2752"/>
    </row>
    <row r="249" spans="1:52" s="2719" customFormat="1" ht="16.5" customHeight="1">
      <c r="A249" s="2682"/>
      <c r="B249" s="2707">
        <f>'Part II-Sources of Funds'!B7</f>
        <v>0</v>
      </c>
      <c r="C249" s="2686" t="s">
        <v>3881</v>
      </c>
      <c r="D249" s="2681"/>
      <c r="E249" s="2707">
        <f>'Part II-Sources of Funds'!E7</f>
        <v>0</v>
      </c>
      <c r="F249" s="2686" t="s">
        <v>6084</v>
      </c>
      <c r="I249" s="2756">
        <f>'Part II-Sources of Funds'!I7</f>
        <v>0</v>
      </c>
      <c r="J249" s="2757"/>
      <c r="L249" s="2707">
        <f>'Part II-Sources of Funds'!L7</f>
        <v>0</v>
      </c>
      <c r="M249" s="2686" t="s">
        <v>514</v>
      </c>
      <c r="P249" s="2758"/>
      <c r="Q249" s="2758"/>
      <c r="S249" s="2723"/>
      <c r="T249" s="2723"/>
      <c r="Y249" s="2752"/>
      <c r="Z249" s="2682">
        <v>7</v>
      </c>
      <c r="AZ249" s="2752"/>
    </row>
    <row r="250" spans="1:52" s="2719" customFormat="1" ht="16.5" customHeight="1">
      <c r="A250" s="2681"/>
      <c r="B250" s="2707">
        <f>'Part II-Sources of Funds'!B8</f>
        <v>0</v>
      </c>
      <c r="C250" s="2686" t="s">
        <v>6668</v>
      </c>
      <c r="F250" s="2719" t="s">
        <v>6671</v>
      </c>
      <c r="H250" s="2698" t="str">
        <f>'Part II-Sources of Funds'!H8</f>
        <v>Specify Other HOME Source here</v>
      </c>
      <c r="I250" s="2698"/>
      <c r="J250" s="2698"/>
      <c r="L250" s="2707">
        <f>'Part II-Sources of Funds'!L8</f>
        <v>0</v>
      </c>
      <c r="M250" s="2686" t="s">
        <v>6673</v>
      </c>
      <c r="P250" s="2758"/>
      <c r="Q250" s="2758"/>
      <c r="S250" s="2723"/>
      <c r="T250" s="2723"/>
      <c r="Y250" s="2752"/>
      <c r="Z250" s="2682">
        <v>8</v>
      </c>
      <c r="AZ250" s="2752"/>
    </row>
    <row r="251" spans="1:52" s="2719" customFormat="1" ht="16.5" customHeight="1">
      <c r="A251" s="2682"/>
      <c r="B251" s="2707">
        <f>'Part II-Sources of Funds'!B9</f>
        <v>0</v>
      </c>
      <c r="C251" s="2719" t="s">
        <v>3303</v>
      </c>
      <c r="E251" s="2707">
        <f>'Part II-Sources of Funds'!E9</f>
        <v>0</v>
      </c>
      <c r="F251" s="2698" t="str">
        <f>'Part II-Sources of Funds'!F9</f>
        <v>Other Type of FEDERAL Funding * - describe type/program here</v>
      </c>
      <c r="G251" s="2698"/>
      <c r="H251" s="2698"/>
      <c r="I251" s="2698"/>
      <c r="J251" s="2698"/>
      <c r="L251" s="2707">
        <f>'Part II-Sources of Funds'!L9</f>
        <v>0</v>
      </c>
      <c r="M251" s="2686" t="s">
        <v>3882</v>
      </c>
      <c r="Q251" s="2758"/>
      <c r="S251" s="2723"/>
      <c r="T251" s="2723"/>
      <c r="Y251" s="2752"/>
      <c r="Z251" s="2682">
        <v>9</v>
      </c>
      <c r="AZ251" s="2752"/>
    </row>
    <row r="252" spans="1:52" s="2719" customFormat="1" ht="16.5" customHeight="1">
      <c r="A252" s="2682"/>
      <c r="B252" s="2707">
        <f>'Part II-Sources of Funds'!B10</f>
        <v>0</v>
      </c>
      <c r="C252" s="2686" t="s">
        <v>2395</v>
      </c>
      <c r="F252" s="2698" t="str">
        <f>'Part II-Sources of Funds'!F10</f>
        <v>Specify Source/Administrator of Other FEDERAL Funding here</v>
      </c>
      <c r="G252" s="2698"/>
      <c r="H252" s="2698"/>
      <c r="I252" s="2698"/>
      <c r="J252" s="2698"/>
      <c r="L252" s="2707">
        <f>'Part II-Sources of Funds'!L10</f>
        <v>0</v>
      </c>
      <c r="M252" s="2686" t="s">
        <v>3196</v>
      </c>
      <c r="P252" s="2758"/>
      <c r="Q252" s="2758"/>
      <c r="S252" s="2723"/>
      <c r="T252" s="2723"/>
      <c r="Y252" s="2752"/>
      <c r="Z252" s="2697">
        <v>10</v>
      </c>
      <c r="AZ252" s="2752"/>
    </row>
    <row r="253" spans="1:52" s="2719" customFormat="1" ht="16.5" customHeight="1">
      <c r="A253" s="2682"/>
      <c r="B253" s="2707">
        <f>'Part II-Sources of Funds'!B11</f>
        <v>0</v>
      </c>
      <c r="C253" s="2686" t="s">
        <v>2396</v>
      </c>
      <c r="E253" s="2707">
        <f>'Part II-Sources of Funds'!E11</f>
        <v>0</v>
      </c>
      <c r="F253" s="2698" t="str">
        <f>'Part II-Sources of Funds'!F11</f>
        <v>Other Type of STATE/LOCAL Funding * - describe type/program here</v>
      </c>
      <c r="G253" s="2698"/>
      <c r="H253" s="2698"/>
      <c r="I253" s="2698"/>
      <c r="J253" s="2698"/>
      <c r="L253" s="2707">
        <f>'Part II-Sources of Funds'!L11</f>
        <v>0</v>
      </c>
      <c r="M253" s="2719" t="s">
        <v>2399</v>
      </c>
      <c r="S253" s="2723"/>
      <c r="T253" s="2723"/>
      <c r="Y253" s="2752"/>
      <c r="Z253" s="2682">
        <v>11</v>
      </c>
      <c r="AZ253" s="2752"/>
    </row>
    <row r="254" spans="1:52" s="2719" customFormat="1" ht="16.5" customHeight="1">
      <c r="A254" s="2682"/>
      <c r="B254" s="2707">
        <f>'Part II-Sources of Funds'!B12</f>
        <v>0</v>
      </c>
      <c r="C254" s="2686" t="s">
        <v>3197</v>
      </c>
      <c r="F254" s="2698" t="str">
        <f>'Part II-Sources of Funds'!F12</f>
        <v>Specify Source/Administrator of Other STATE/LOCAL Funding here</v>
      </c>
      <c r="G254" s="2698"/>
      <c r="H254" s="2698"/>
      <c r="I254" s="2698"/>
      <c r="J254" s="2698"/>
      <c r="L254" s="2707">
        <f>'Part II-Sources of Funds'!L12</f>
        <v>0</v>
      </c>
      <c r="M254" s="2719" t="s">
        <v>3223</v>
      </c>
      <c r="S254" s="2723"/>
      <c r="T254" s="2723"/>
      <c r="Y254" s="2752"/>
      <c r="Z254" s="2682">
        <v>12</v>
      </c>
      <c r="AZ254" s="2752"/>
    </row>
    <row r="255" spans="1:52" s="2719" customFormat="1" ht="16.5" customHeight="1">
      <c r="A255" s="2682"/>
      <c r="B255" s="2707">
        <f>'Part II-Sources of Funds'!B13</f>
        <v>0</v>
      </c>
      <c r="C255" s="2686" t="s">
        <v>6670</v>
      </c>
      <c r="E255" s="2707">
        <f>'Part II-Sources of Funds'!E13</f>
        <v>0</v>
      </c>
      <c r="F255" s="2686" t="s">
        <v>6672</v>
      </c>
      <c r="H255" s="2698" t="str">
        <f>'Part II-Sources of Funds'!H13</f>
        <v>Specify Other PBRA Source here</v>
      </c>
      <c r="I255" s="2698"/>
      <c r="J255" s="2698"/>
      <c r="L255" s="2707">
        <f>'Part II-Sources of Funds'!L13</f>
        <v>0</v>
      </c>
      <c r="M255" s="2719" t="s">
        <v>6082</v>
      </c>
      <c r="S255" s="2723"/>
      <c r="T255" s="2723"/>
      <c r="Y255" s="2752"/>
      <c r="Z255" s="2682">
        <v>13</v>
      </c>
      <c r="AZ255" s="2752"/>
    </row>
    <row r="256" spans="1:52" s="2719" customFormat="1" ht="16.5" customHeight="1">
      <c r="A256" s="2682"/>
      <c r="B256" s="2707">
        <f>'Part II-Sources of Funds'!B14</f>
        <v>0</v>
      </c>
      <c r="C256" s="2719" t="s">
        <v>2398</v>
      </c>
      <c r="E256" s="2707">
        <f>'Part II-Sources of Funds'!E14</f>
        <v>0</v>
      </c>
      <c r="F256" s="2686" t="s">
        <v>3302</v>
      </c>
      <c r="L256" s="2707">
        <f>'Part II-Sources of Funds'!L14</f>
        <v>0</v>
      </c>
      <c r="M256" s="2719" t="s">
        <v>6717</v>
      </c>
      <c r="S256" s="2723"/>
      <c r="T256" s="2723"/>
      <c r="Y256" s="2752"/>
      <c r="Z256" s="2682">
        <v>14</v>
      </c>
      <c r="AZ256" s="2752"/>
    </row>
    <row r="257" spans="1:52" s="2719" customFormat="1" ht="16.5" customHeight="1">
      <c r="A257" s="2682"/>
      <c r="B257" s="2707">
        <f>'Part II-Sources of Funds'!B15</f>
        <v>0</v>
      </c>
      <c r="C257" s="2719" t="s">
        <v>3222</v>
      </c>
      <c r="E257" s="2707">
        <f>'Part II-Sources of Funds'!E15</f>
        <v>0</v>
      </c>
      <c r="F257" s="2686" t="s">
        <v>6085</v>
      </c>
      <c r="L257" s="2707" t="str">
        <f>'Part II-Sources of Funds'!L15</f>
        <v>Yes</v>
      </c>
      <c r="M257" s="2759" t="s">
        <v>6086</v>
      </c>
      <c r="Y257" s="2752"/>
      <c r="Z257" s="2682">
        <v>15</v>
      </c>
      <c r="AZ257" s="2752"/>
    </row>
    <row r="258" spans="1:52" s="2719" customFormat="1" ht="16.5" customHeight="1">
      <c r="A258" s="2682"/>
      <c r="B258" s="2707">
        <f>'Part II-Sources of Funds'!B16</f>
        <v>0</v>
      </c>
      <c r="C258" s="2686" t="s">
        <v>1674</v>
      </c>
      <c r="E258" s="2707">
        <f>'Part II-Sources of Funds'!E16</f>
        <v>0</v>
      </c>
      <c r="F258" s="2686" t="s">
        <v>6504</v>
      </c>
      <c r="I258" s="2756">
        <f>'Part II-Sources of Funds'!I16</f>
        <v>0</v>
      </c>
      <c r="J258" s="2760"/>
      <c r="L258" s="2707">
        <f>'Part II-Sources of Funds'!L16</f>
        <v>0</v>
      </c>
      <c r="M258" s="2759" t="s">
        <v>6081</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Central Bank of Kansas City</v>
      </c>
      <c r="I264" s="2739"/>
      <c r="J264" s="2739"/>
      <c r="K264" s="2739"/>
      <c r="L264" s="2762">
        <f>'Part II-Sources of Funds'!L22</f>
        <v>8966590</v>
      </c>
      <c r="M264" s="2762"/>
      <c r="N264" s="2763">
        <f>'Part II-Sources of Funds'!N22</f>
        <v>5.5E-2</v>
      </c>
      <c r="O264" s="2763"/>
      <c r="P264" s="2764">
        <f>'Part II-Sources of Funds'!P22</f>
        <v>24</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t="str">
        <f>'Part II-Sources of Funds'!H23</f>
        <v>Central Bank of Kansas City (CDFI CMF)</v>
      </c>
      <c r="I265" s="2739"/>
      <c r="J265" s="2739"/>
      <c r="K265" s="2739"/>
      <c r="L265" s="2762">
        <f>'Part II-Sources of Funds'!L23</f>
        <v>600000</v>
      </c>
      <c r="M265" s="2762"/>
      <c r="N265" s="2763">
        <f>'Part II-Sources of Funds'!N23</f>
        <v>2.63E-2</v>
      </c>
      <c r="O265" s="2763"/>
      <c r="P265" s="2764">
        <f>'Part II-Sources of Funds'!P23</f>
        <v>24</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6349</v>
      </c>
      <c r="Z266" s="2682">
        <v>24</v>
      </c>
      <c r="AZ266" s="2752" t="s">
        <v>6350</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Affordable Equity Partners, Inc.</v>
      </c>
      <c r="I270" s="2739"/>
      <c r="J270" s="2739"/>
      <c r="K270" s="2739"/>
      <c r="L270" s="2762">
        <f>'Part II-Sources of Funds'!L28</f>
        <v>1741730</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Affordable Equity Partners, Inc.</v>
      </c>
      <c r="I271" s="2739"/>
      <c r="J271" s="2739"/>
      <c r="K271" s="2739"/>
      <c r="L271" s="2762">
        <f>'Part II-Sources of Funds'!L29</f>
        <v>824896</v>
      </c>
      <c r="M271" s="2762"/>
      <c r="N271" s="2681"/>
      <c r="Q271" s="2681"/>
      <c r="S271" s="2723"/>
      <c r="T271" s="2723"/>
      <c r="Y271" s="2752" t="s">
        <v>6354</v>
      </c>
      <c r="Z271" s="2682">
        <v>29</v>
      </c>
      <c r="AZ271" s="2752" t="s">
        <v>6355</v>
      </c>
    </row>
    <row r="272" spans="1:52" s="2719" customFormat="1" ht="15.75" customHeight="1">
      <c r="A272" s="2681"/>
      <c r="B272" s="2681" t="s">
        <v>232</v>
      </c>
      <c r="C272" s="2681"/>
      <c r="D272" s="2739" t="str">
        <f>'Part II-Sources of Funds'!D30</f>
        <v>GP &amp; LP Equity</v>
      </c>
      <c r="E272" s="2739"/>
      <c r="F272" s="2739"/>
      <c r="G272" s="2739"/>
      <c r="H272" s="2739">
        <f>'Part II-Sources of Funds'!H30</f>
        <v>0</v>
      </c>
      <c r="I272" s="2739"/>
      <c r="J272" s="2739"/>
      <c r="K272" s="2739"/>
      <c r="L272" s="2762">
        <f>'Part II-Sources of Funds'!L30</f>
        <v>110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12133326</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12133326</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6358</v>
      </c>
    </row>
    <row r="282" spans="1:52" s="2719" customFormat="1" ht="15" customHeight="1">
      <c r="A282" s="2681"/>
      <c r="B282" s="2681" t="s">
        <v>2403</v>
      </c>
      <c r="C282" s="2681"/>
      <c r="D282" s="2681"/>
      <c r="E282" s="2739" t="str">
        <f>'Part II-Sources of Funds'!E40</f>
        <v>Central Bank of Kansas City (CDFI CMF)</v>
      </c>
      <c r="F282" s="2739"/>
      <c r="G282" s="2739"/>
      <c r="H282" s="2739"/>
      <c r="I282" s="2762">
        <f>'Part II-Sources of Funds'!I40</f>
        <v>600000</v>
      </c>
      <c r="J282" s="2689"/>
      <c r="K282" s="2763">
        <f>'Part II-Sources of Funds'!K40</f>
        <v>2.63E-2</v>
      </c>
      <c r="L282" s="2707">
        <f>'Part II-Sources of Funds'!L40</f>
        <v>10</v>
      </c>
      <c r="M282" s="2707">
        <f>'Part II-Sources of Funds'!M40</f>
        <v>10</v>
      </c>
      <c r="N282" s="2689" t="str">
        <f>'Part II-Sources of Funds'!N40</f>
        <v>Amortizing</v>
      </c>
      <c r="O282" s="2689"/>
      <c r="P282" s="2767">
        <f>'Part II-Sources of Funds'!P40</f>
        <v>68300.795837009136</v>
      </c>
      <c r="Q282" s="2767"/>
      <c r="S282" s="2723"/>
      <c r="T282" s="2723"/>
      <c r="Y282" s="2752" t="s">
        <v>6358</v>
      </c>
      <c r="Z282" s="2682">
        <v>40</v>
      </c>
      <c r="AZ282" s="2752" t="s">
        <v>6359</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6359</v>
      </c>
      <c r="Z283" s="2682">
        <v>41</v>
      </c>
      <c r="AZ283" s="2752" t="s">
        <v>6360</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2.9154716981132076E-2</v>
      </c>
      <c r="E287" s="2739" t="str">
        <f>'Part II-Sources of Funds'!E45</f>
        <v>Community Action Partnership of North Alabama, Inc.</v>
      </c>
      <c r="F287" s="2739"/>
      <c r="G287" s="2739"/>
      <c r="H287" s="2739"/>
      <c r="I287" s="2762">
        <f>'Part II-Sources of Funds'!I45</f>
        <v>38630</v>
      </c>
      <c r="J287" s="2760"/>
      <c r="K287" s="2763">
        <f>'Part II-Sources of Funds'!K45</f>
        <v>0</v>
      </c>
      <c r="L287" s="2707">
        <f>'Part II-Sources of Funds'!L45</f>
        <v>15</v>
      </c>
      <c r="M287" s="2707">
        <f>'Part II-Sources of Funds'!M45</f>
        <v>0</v>
      </c>
      <c r="N287" s="2689">
        <f>'Part II-Sources of Funds'!N45</f>
        <v>0</v>
      </c>
      <c r="O287" s="2689"/>
      <c r="P287" s="2767" t="str">
        <f>'Part II-Sources of Funds'!P45</f>
        <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200037.16463947113</v>
      </c>
      <c r="H289" s="2780" t="s">
        <v>3407</v>
      </c>
      <c r="I289" s="2779">
        <f>'Part II-Sources of Funds'!I47</f>
        <v>38630</v>
      </c>
      <c r="K289" s="2780" t="s">
        <v>3409</v>
      </c>
      <c r="L289" s="2781">
        <f>'Part II-Sources of Funds'!L47</f>
        <v>0.19311411491771149</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Affordable Equity Partners, Inc.</v>
      </c>
      <c r="F293" s="2739"/>
      <c r="G293" s="2739"/>
      <c r="H293" s="2739"/>
      <c r="I293" s="2762">
        <f>'Part II-Sources of Funds'!I51</f>
        <v>8708645</v>
      </c>
      <c r="J293" s="2772"/>
      <c r="L293" s="2786">
        <f>'Part III-A-Uses of Funds'!$J$191*10*'Part III-A-Uses of Funds'!$N$182</f>
        <v>8797500</v>
      </c>
      <c r="M293" s="2786"/>
      <c r="N293" s="2787">
        <f>I293-L293</f>
        <v>-88855</v>
      </c>
      <c r="O293" s="2787"/>
      <c r="P293" s="2788">
        <f>I293/I303</f>
        <v>0.6464322669623942</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Affordable Equity Partners, Inc.</v>
      </c>
      <c r="F294" s="2739"/>
      <c r="G294" s="2739"/>
      <c r="H294" s="2739"/>
      <c r="I294" s="2762">
        <f>'Part II-Sources of Funds'!I52</f>
        <v>4124475</v>
      </c>
      <c r="J294" s="2772"/>
      <c r="L294" s="2786">
        <f>'Part III-A-Uses of Funds'!$J$191*10*'Part III-A-Uses of Funds'!$Q$182</f>
        <v>4036500</v>
      </c>
      <c r="M294" s="2786"/>
      <c r="N294" s="2787">
        <f>I294-L294</f>
        <v>87975</v>
      </c>
      <c r="O294" s="2787"/>
      <c r="P294" s="2788">
        <f>I294/I303</f>
        <v>0.3061548293999492</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0.9525870963623434</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t="str">
        <f>'Part II-Sources of Funds'!C57</f>
        <v xml:space="preserve">GP &amp; LP Equity </v>
      </c>
      <c r="D299" s="2739"/>
      <c r="E299" s="2739">
        <f>'Part II-Sources of Funds'!E57</f>
        <v>0</v>
      </c>
      <c r="F299" s="2739"/>
      <c r="G299" s="2739"/>
      <c r="H299" s="2739"/>
      <c r="I299" s="2762">
        <f>'Part II-Sources of Funds'!I57</f>
        <v>110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2049</v>
      </c>
      <c r="C302" s="2681"/>
      <c r="D302" s="2681"/>
      <c r="E302" s="2681"/>
      <c r="F302" s="2681"/>
      <c r="G302" s="2681"/>
      <c r="I302" s="2766">
        <f>SUM(I282:J287)+SUM(I291:J301)</f>
        <v>13471860</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13471860</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Please see Tab 02 for preliminary commitments for both financing and equity, which includes the Construction/Permanent Favorable Financing Loan from Central Bank of Kansas City offered as a result of their 2020 Capital Magnent Fund award from the CDFI Fund division of the United States Treasury Department. The proposed loan is for a minimum term of 10 years at or below long-term monthly AFR effective May 1, 2022 (2.63%).</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Cypress Reserve, ,  County</v>
      </c>
      <c r="W312" s="2681" t="str">
        <f>A312</f>
        <v>PART THREE (A):  USES OF FUNDS  -  2022-0 Cypress Reserve,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10000</v>
      </c>
      <c r="H319" s="2762"/>
      <c r="J319" s="2762">
        <f>'Part III-A-Uses of Funds'!J9</f>
        <v>10000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12000</v>
      </c>
      <c r="H321" s="2762"/>
      <c r="J321" s="2762">
        <f>'Part III-A-Uses of Funds'!J11</f>
        <v>12000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10000</v>
      </c>
      <c r="H322" s="2762"/>
      <c r="J322" s="2762">
        <f>'Part III-A-Uses of Funds'!J12</f>
        <v>10000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12500</v>
      </c>
      <c r="H323" s="2762"/>
      <c r="J323" s="2762">
        <f>'Part III-A-Uses of Funds'!J13</f>
        <v>12500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6" customHeight="1">
      <c r="F328" s="2800" t="s">
        <v>184</v>
      </c>
      <c r="G328" s="2792">
        <f>SUM(G319:G327)</f>
        <v>52500</v>
      </c>
      <c r="H328" s="2792"/>
      <c r="J328" s="2792">
        <f>SUM(J319:J327)</f>
        <v>52500</v>
      </c>
      <c r="K328" s="2792"/>
      <c r="L328" s="2795"/>
      <c r="M328" s="2792">
        <f>SUM(M319:M327)</f>
        <v>0</v>
      </c>
      <c r="N328" s="2792"/>
      <c r="P328" s="2792">
        <f>SUM(P319:P327)</f>
        <v>0</v>
      </c>
      <c r="Q328" s="2792"/>
      <c r="S328" s="2792">
        <f>SUM(S319:S327)</f>
        <v>0</v>
      </c>
      <c r="T328" s="2792"/>
      <c r="V328" s="2796">
        <f>SUM(V319:V327)</f>
        <v>0</v>
      </c>
      <c r="W328" s="2797"/>
      <c r="X328" s="2797"/>
      <c r="AZ328" s="2702" t="s">
        <v>6375</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3224</v>
      </c>
      <c r="F330" s="2803">
        <f>IF('Part I-Project Identification'!$O$31="","",G330/'Part I-Project Identification'!$O$31)</f>
        <v>87242.026266416506</v>
      </c>
      <c r="G330" s="2762">
        <f>'Part III-A-Uses of Funds'!G20</f>
        <v>465000</v>
      </c>
      <c r="H330" s="2762"/>
      <c r="J330" s="2795"/>
      <c r="K330" s="2792"/>
      <c r="L330" s="2795"/>
      <c r="M330" s="2795"/>
      <c r="N330" s="2792"/>
      <c r="P330" s="2795"/>
      <c r="Q330" s="2792"/>
      <c r="S330" s="2762">
        <f>'Part III-A-Uses of Funds'!S20</f>
        <v>465000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465000</v>
      </c>
      <c r="H334" s="2792"/>
      <c r="J334" s="2795"/>
      <c r="K334" s="2792"/>
      <c r="L334" s="2795"/>
      <c r="M334" s="2792">
        <f>SUM(M332:M333)</f>
        <v>0</v>
      </c>
      <c r="N334" s="2792"/>
      <c r="P334" s="2795"/>
      <c r="Q334" s="2792"/>
      <c r="S334" s="2792">
        <f>SUM(S330:S333)</f>
        <v>465000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286491.55722326454</v>
      </c>
      <c r="G336" s="2762">
        <f>'Part III-A-Uses of Funds'!G26</f>
        <v>1527000</v>
      </c>
      <c r="H336" s="2762"/>
      <c r="J336" s="2762">
        <f>'Part III-A-Uses of Funds'!J26</f>
        <v>1450650</v>
      </c>
      <c r="K336" s="2762"/>
      <c r="L336" s="2795"/>
      <c r="M336" s="2762">
        <f>'Part III-A-Uses of Funds'!M26</f>
        <v>0</v>
      </c>
      <c r="N336" s="2762"/>
      <c r="P336" s="2762">
        <f>'Part III-A-Uses of Funds'!P26</f>
        <v>0</v>
      </c>
      <c r="Q336" s="2762"/>
      <c r="S336" s="2762">
        <f>'Part III-A-Uses of Funds'!S26</f>
        <v>76350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1527000</v>
      </c>
      <c r="H338" s="2792"/>
      <c r="J338" s="2792">
        <f>SUM(J336:J337)</f>
        <v>1450650</v>
      </c>
      <c r="K338" s="2792"/>
      <c r="L338" s="2795"/>
      <c r="M338" s="2792">
        <f>M336</f>
        <v>0</v>
      </c>
      <c r="N338" s="2792"/>
      <c r="P338" s="2792">
        <f>P336</f>
        <v>0</v>
      </c>
      <c r="Q338" s="2792"/>
      <c r="S338" s="2792">
        <f>SUM(S336:S337)</f>
        <v>76350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6964000</v>
      </c>
      <c r="H340" s="2762"/>
      <c r="J340" s="2762">
        <f>'Part III-A-Uses of Funds'!J30</f>
        <v>6964000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6964000</v>
      </c>
      <c r="H346" s="2792"/>
      <c r="J346" s="2792">
        <f>SUM(J340:J345)</f>
        <v>6964000</v>
      </c>
      <c r="K346" s="2792"/>
      <c r="L346" s="2795"/>
      <c r="M346" s="2792">
        <f>SUM(M340:M345)</f>
        <v>0</v>
      </c>
      <c r="N346" s="2792"/>
      <c r="P346" s="2792">
        <f>SUM(P340:P345)</f>
        <v>0</v>
      </c>
      <c r="Q346" s="2792"/>
      <c r="S346" s="2792">
        <f>SUM(S340:S345)</f>
        <v>0</v>
      </c>
      <c r="T346" s="2792"/>
      <c r="V346" s="2796">
        <f>SUM(V340:V345)</f>
        <v>0</v>
      </c>
      <c r="W346" s="2797"/>
      <c r="X346" s="2797"/>
      <c r="AZ346" s="2702" t="s">
        <v>6378</v>
      </c>
      <c r="BA346" s="2682">
        <v>36</v>
      </c>
    </row>
    <row r="347" spans="1:53" s="2681" customFormat="1" ht="12" customHeight="1">
      <c r="B347" s="2681" t="s">
        <v>2164</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509460</v>
      </c>
      <c r="F348" s="2807">
        <f>IF(($G$28+$G$36)=0,0,G348/($G$28+$G$36))</f>
        <v>0</v>
      </c>
      <c r="G348" s="2762">
        <f>'Part III-A-Uses of Funds'!G38</f>
        <v>509460</v>
      </c>
      <c r="H348" s="2762"/>
      <c r="J348" s="2762">
        <f>'Part III-A-Uses of Funds'!J38</f>
        <v>509460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169820</v>
      </c>
      <c r="F349" s="2807">
        <f>IF(($G$28+$G$36)=0,0,G349/($G$28+$G$36))</f>
        <v>0</v>
      </c>
      <c r="G349" s="2762">
        <f>'Part III-A-Uses of Funds'!G39</f>
        <v>169820</v>
      </c>
      <c r="H349" s="2762"/>
      <c r="I349" s="2693"/>
      <c r="J349" s="2762">
        <f>'Part III-A-Uses of Funds'!J39</f>
        <v>169820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509460</v>
      </c>
      <c r="F350" s="2807">
        <f>IF(($G$28+$G$36)=0,0,G350/($G$28+$G$36))</f>
        <v>0</v>
      </c>
      <c r="G350" s="2762">
        <f>'Part III-A-Uses of Funds'!G40</f>
        <v>509460</v>
      </c>
      <c r="H350" s="2762"/>
      <c r="I350" s="2693"/>
      <c r="J350" s="2762">
        <f>'Part III-A-Uses of Funds'!J40</f>
        <v>509460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1188740</v>
      </c>
      <c r="F351" s="2800" t="s">
        <v>184</v>
      </c>
      <c r="G351" s="2792">
        <f>SUM(G348:G350)</f>
        <v>1188740</v>
      </c>
      <c r="H351" s="2792"/>
      <c r="J351" s="2792">
        <f>SUM(J348:J350)</f>
        <v>1188740</v>
      </c>
      <c r="K351" s="2792"/>
      <c r="L351" s="2795"/>
      <c r="M351" s="2792">
        <f>SUM(M348:M350)</f>
        <v>0</v>
      </c>
      <c r="N351" s="2792"/>
      <c r="P351" s="2792">
        <f>SUM(P348:P350)</f>
        <v>0</v>
      </c>
      <c r="Q351" s="2792"/>
      <c r="S351" s="2792">
        <f>SUM(S348:S350)</f>
        <v>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6494</v>
      </c>
      <c r="E353" s="2682"/>
      <c r="F353" s="2682"/>
      <c r="G353" s="2811">
        <f>G338+G346+G351</f>
        <v>9679740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6" customHeight="1">
      <c r="B358" s="2813" t="s">
        <v>6828</v>
      </c>
      <c r="C358" s="2814"/>
      <c r="E358" s="2683" t="s">
        <v>2480</v>
      </c>
      <c r="F358" s="2815">
        <f>C359/'Part V-Revenues &amp; Expenses'!$P$65</f>
        <v>193594.8</v>
      </c>
      <c r="G358" s="2816" t="s">
        <v>6829</v>
      </c>
      <c r="J358" s="2817">
        <f>C359/'Part V-Revenues &amp; Expenses'!$P$67</f>
        <v>193594.8</v>
      </c>
      <c r="K358" s="2817"/>
      <c r="M358" s="2818" t="s">
        <v>6480</v>
      </c>
      <c r="N358" s="2818"/>
      <c r="P358" s="2817">
        <f>C359/'Part V-Revenues &amp; Expenses'!$K$175</f>
        <v>189.35328638497651</v>
      </c>
      <c r="Q358" s="2817"/>
      <c r="S358" s="2819" t="s">
        <v>6482</v>
      </c>
      <c r="T358" s="2819"/>
      <c r="V358" s="2801"/>
      <c r="W358" s="2797"/>
      <c r="X358" s="2797"/>
      <c r="AZ358" s="2702"/>
      <c r="BA358" s="2682">
        <v>48</v>
      </c>
    </row>
    <row r="359" spans="1:53" s="2681" customFormat="1" ht="12.6" customHeight="1">
      <c r="B359" s="2820" t="s">
        <v>6493</v>
      </c>
      <c r="C359" s="2821">
        <f>G338+G346+G351+G356</f>
        <v>9679740</v>
      </c>
      <c r="E359" s="2683"/>
      <c r="F359" s="2815">
        <f>C359/'Part V-Revenues &amp; Expenses'!$P$166</f>
        <v>197.8687653311529</v>
      </c>
      <c r="G359" s="2819" t="s">
        <v>6830</v>
      </c>
      <c r="J359" s="2817">
        <f>C359/'Part V-Revenues &amp; Expenses'!$P$168</f>
        <v>197.8687653311529</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483987</v>
      </c>
      <c r="F365" s="2774">
        <f>G365/C359</f>
        <v>0.05</v>
      </c>
      <c r="G365" s="2762">
        <f>'Part III-A-Uses of Funds'!G55</f>
        <v>483987</v>
      </c>
      <c r="H365" s="2762"/>
      <c r="I365" s="2681"/>
      <c r="J365" s="2762">
        <f>'Part III-A-Uses of Funds'!J55</f>
        <v>483987</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6304</v>
      </c>
      <c r="C367" s="2814"/>
      <c r="E367" s="2683" t="s">
        <v>6305</v>
      </c>
      <c r="F367" s="2815">
        <f>B368/'Part V-Revenues &amp; Expenses'!$P$65</f>
        <v>203274.54</v>
      </c>
      <c r="G367" s="2816" t="s">
        <v>6829</v>
      </c>
      <c r="J367" s="2817">
        <f>B368/'Part V-Revenues &amp; Expenses'!$P$67</f>
        <v>203274.54</v>
      </c>
      <c r="K367" s="2817"/>
      <c r="M367" s="2818" t="s">
        <v>6480</v>
      </c>
      <c r="N367" s="2818"/>
      <c r="P367" s="2817">
        <f>B368/'Part V-Revenues &amp; Expenses'!$K$175</f>
        <v>198.82095070422534</v>
      </c>
      <c r="Q367" s="2817"/>
      <c r="S367" s="2819" t="s">
        <v>6482</v>
      </c>
      <c r="T367" s="2819"/>
      <c r="V367" s="2801"/>
      <c r="W367" s="2797"/>
      <c r="X367" s="2797"/>
      <c r="AZ367" s="2702"/>
      <c r="BA367" s="2682">
        <v>54</v>
      </c>
    </row>
    <row r="368" spans="1:53" s="2681" customFormat="1" ht="12.6" customHeight="1">
      <c r="B368" s="2821">
        <f>C359+G365</f>
        <v>10163727</v>
      </c>
      <c r="C368" s="2821"/>
      <c r="E368" s="2683"/>
      <c r="F368" s="2815">
        <f>B368/'Part V-Revenues &amp; Expenses'!$P$166</f>
        <v>207.76220359771054</v>
      </c>
      <c r="G368" s="2819" t="s">
        <v>6830</v>
      </c>
      <c r="J368" s="2817">
        <f>B368/'Part V-Revenues &amp; Expenses'!$P$168</f>
        <v>207.76220359771054</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95666</v>
      </c>
      <c r="H373" s="2762"/>
      <c r="J373" s="2762">
        <f>'Part III-A-Uses of Funds'!J63</f>
        <v>95666</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317404</v>
      </c>
      <c r="H374" s="2762"/>
      <c r="J374" s="2762">
        <f>'Part III-A-Uses of Funds'!J64</f>
        <v>309339</v>
      </c>
      <c r="K374" s="2762"/>
      <c r="L374" s="2795"/>
      <c r="M374" s="2762">
        <f>'Part III-A-Uses of Funds'!M64</f>
        <v>0</v>
      </c>
      <c r="N374" s="2762"/>
      <c r="P374" s="2762">
        <f>'Part III-A-Uses of Funds'!P64</f>
        <v>0</v>
      </c>
      <c r="Q374" s="2762"/>
      <c r="S374" s="2762">
        <f>'Part III-A-Uses of Funds'!S64</f>
        <v>8065</v>
      </c>
      <c r="T374" s="2762"/>
      <c r="V374" s="2796"/>
      <c r="W374" s="2797"/>
      <c r="X374" s="2797"/>
      <c r="AZ374" s="2702"/>
      <c r="BA374" s="2682">
        <v>64</v>
      </c>
    </row>
    <row r="375" spans="1:53" s="2681" customFormat="1" ht="12" customHeight="1">
      <c r="B375" s="2681" t="s">
        <v>2169</v>
      </c>
      <c r="G375" s="2762">
        <f>'Part III-A-Uses of Funds'!G65</f>
        <v>30000</v>
      </c>
      <c r="H375" s="2762"/>
      <c r="J375" s="2762">
        <f>'Part III-A-Uses of Funds'!J65</f>
        <v>15000</v>
      </c>
      <c r="K375" s="2762"/>
      <c r="L375" s="2795"/>
      <c r="M375" s="2762">
        <f>'Part III-A-Uses of Funds'!M65</f>
        <v>0</v>
      </c>
      <c r="N375" s="2762"/>
      <c r="P375" s="2762">
        <f>'Part III-A-Uses of Funds'!P65</f>
        <v>0</v>
      </c>
      <c r="Q375" s="2762"/>
      <c r="S375" s="2762">
        <f>'Part III-A-Uses of Funds'!S65</f>
        <v>15000</v>
      </c>
      <c r="T375" s="2762"/>
      <c r="V375" s="2796"/>
      <c r="W375" s="2797"/>
      <c r="X375" s="2797"/>
      <c r="AZ375" s="2702" t="s">
        <v>6382</v>
      </c>
      <c r="BA375" s="2682">
        <v>65</v>
      </c>
    </row>
    <row r="376" spans="1:53" s="2681" customFormat="1" ht="12" customHeight="1">
      <c r="B376" s="2681" t="s">
        <v>2451</v>
      </c>
      <c r="G376" s="2762">
        <f>'Part III-A-Uses of Funds'!G66</f>
        <v>12500</v>
      </c>
      <c r="H376" s="2762"/>
      <c r="J376" s="2762">
        <f>'Part III-A-Uses of Funds'!J66</f>
        <v>12500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5000</v>
      </c>
      <c r="H377" s="2762"/>
      <c r="J377" s="2762">
        <f>'Part III-A-Uses of Funds'!J67</f>
        <v>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6384</v>
      </c>
      <c r="BA377" s="2682">
        <v>67</v>
      </c>
    </row>
    <row r="378" spans="1:53" s="2681" customFormat="1" ht="12" customHeight="1">
      <c r="B378" s="2681" t="s">
        <v>2170</v>
      </c>
      <c r="G378" s="2762">
        <f>'Part III-A-Uses of Funds'!G68</f>
        <v>20000</v>
      </c>
      <c r="H378" s="2762"/>
      <c r="J378" s="2762">
        <f>'Part III-A-Uses of Funds'!J68</f>
        <v>20000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30000</v>
      </c>
      <c r="H379" s="2762"/>
      <c r="J379" s="2762">
        <f>'Part III-A-Uses of Funds'!J69</f>
        <v>30000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510570</v>
      </c>
      <c r="H383" s="2792"/>
      <c r="J383" s="2792">
        <f>SUM(J371:J382)</f>
        <v>487505</v>
      </c>
      <c r="K383" s="2792"/>
      <c r="L383" s="2795"/>
      <c r="M383" s="2792">
        <f>SUM(M371:M382)</f>
        <v>0</v>
      </c>
      <c r="N383" s="2792"/>
      <c r="P383" s="2792">
        <f>SUM(P371:P382)</f>
        <v>0</v>
      </c>
      <c r="Q383" s="2792"/>
      <c r="S383" s="2792">
        <f>SUM(S371:S382)</f>
        <v>23065</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150000</v>
      </c>
      <c r="H385" s="2762"/>
      <c r="J385" s="2762">
        <f>'Part III-A-Uses of Funds'!J75</f>
        <v>150000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25000</v>
      </c>
      <c r="H386" s="2762"/>
      <c r="J386" s="2762">
        <f>'Part III-A-Uses of Funds'!J76</f>
        <v>25000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15000</v>
      </c>
      <c r="H388" s="2762"/>
      <c r="J388" s="2762">
        <f>'Part III-A-Uses of Funds'!J78</f>
        <v>15000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15000</v>
      </c>
      <c r="H389" s="2762"/>
      <c r="J389" s="2762">
        <f>'Part III-A-Uses of Funds'!J79</f>
        <v>15000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36000</v>
      </c>
      <c r="H390" s="2762"/>
      <c r="J390" s="2762">
        <f>'Part III-A-Uses of Funds'!J80</f>
        <v>36000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90000</v>
      </c>
      <c r="H391" s="2762"/>
      <c r="J391" s="2762">
        <f>'Part III-A-Uses of Funds'!J81</f>
        <v>90000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30000</v>
      </c>
      <c r="H392" s="2762"/>
      <c r="J392" s="2762">
        <f>'Part III-A-Uses of Funds'!J82</f>
        <v>15000</v>
      </c>
      <c r="K392" s="2762"/>
      <c r="L392" s="2795"/>
      <c r="M392" s="2762">
        <f>'Part III-A-Uses of Funds'!M82</f>
        <v>0</v>
      </c>
      <c r="N392" s="2762"/>
      <c r="P392" s="2762">
        <f>'Part III-A-Uses of Funds'!P82</f>
        <v>0</v>
      </c>
      <c r="Q392" s="2762"/>
      <c r="S392" s="2762">
        <f>'Part III-A-Uses of Funds'!S82</f>
        <v>15000</v>
      </c>
      <c r="T392" s="2762"/>
      <c r="V392" s="2796"/>
      <c r="W392" s="2797"/>
      <c r="X392" s="2797"/>
      <c r="AZ392" s="2702"/>
      <c r="BA392" s="2682">
        <v>82</v>
      </c>
    </row>
    <row r="393" spans="1:53" s="2681" customFormat="1" ht="12" customHeight="1">
      <c r="B393" s="2681" t="s">
        <v>1900</v>
      </c>
      <c r="G393" s="2762">
        <f>'Part III-A-Uses of Funds'!G83</f>
        <v>23500</v>
      </c>
      <c r="H393" s="2762"/>
      <c r="J393" s="2762">
        <f>'Part III-A-Uses of Funds'!J83</f>
        <v>23500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12500</v>
      </c>
      <c r="H394" s="2762"/>
      <c r="J394" s="2762">
        <f>'Part III-A-Uses of Funds'!J84</f>
        <v>12500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417000</v>
      </c>
      <c r="H396" s="2792"/>
      <c r="J396" s="2792">
        <f>SUM(J385:J395)</f>
        <v>402000</v>
      </c>
      <c r="K396" s="2792"/>
      <c r="L396" s="2795"/>
      <c r="M396" s="2792">
        <f>SUM(M385:M395)</f>
        <v>0</v>
      </c>
      <c r="N396" s="2792"/>
      <c r="P396" s="2792">
        <f>SUM(P385:P395)</f>
        <v>0</v>
      </c>
      <c r="Q396" s="2792"/>
      <c r="S396" s="2792">
        <f>SUM(S385:S395)</f>
        <v>15000</v>
      </c>
      <c r="T396" s="2792"/>
      <c r="V396" s="2796">
        <f>SUM(V385:V395)</f>
        <v>0</v>
      </c>
      <c r="W396" s="2797"/>
      <c r="X396" s="2797"/>
      <c r="AZ396" s="2702" t="s">
        <v>6387</v>
      </c>
      <c r="BA396" s="2682">
        <v>86</v>
      </c>
    </row>
    <row r="397" spans="1:53" s="2693" customFormat="1" ht="12" customHeight="1">
      <c r="A397" s="2681"/>
      <c r="B397" s="2681" t="s">
        <v>1194</v>
      </c>
      <c r="C397" s="2681"/>
      <c r="D397" s="2829" t="s">
        <v>3232</v>
      </c>
      <c r="E397" s="2830">
        <f>G402/'Part V-Revenues &amp; Expenses'!$P$67</f>
        <v>524.58000000000004</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17729</v>
      </c>
      <c r="H398" s="2762"/>
      <c r="J398" s="2762">
        <f>'Part III-A-Uses of Funds'!J88</f>
        <v>17729</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6000</v>
      </c>
      <c r="H400" s="2762"/>
      <c r="J400" s="2762">
        <f>'Part III-A-Uses of Funds'!J90</f>
        <v>6000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2500</v>
      </c>
      <c r="H401" s="2762"/>
      <c r="J401" s="2762">
        <f>'Part III-A-Uses of Funds'!J91</f>
        <v>2500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26229</v>
      </c>
      <c r="H402" s="2792"/>
      <c r="J402" s="2792">
        <f>SUM(J398:J401)</f>
        <v>26229</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6000</v>
      </c>
      <c r="H407" s="2762"/>
      <c r="J407" s="2792"/>
      <c r="K407" s="2792"/>
      <c r="L407" s="2795"/>
      <c r="M407" s="2792"/>
      <c r="N407" s="2792"/>
      <c r="P407" s="2792"/>
      <c r="Q407" s="2792"/>
      <c r="S407" s="2762">
        <f>'Part III-A-Uses of Funds'!S97</f>
        <v>6000</v>
      </c>
      <c r="T407" s="2762"/>
      <c r="V407" s="2796"/>
      <c r="W407" s="2797"/>
      <c r="X407" s="2797"/>
      <c r="AZ407" s="2702" t="s">
        <v>6389</v>
      </c>
      <c r="BA407" s="2682">
        <v>97</v>
      </c>
    </row>
    <row r="408" spans="1:53" s="2681" customFormat="1" ht="12" customHeight="1">
      <c r="B408" s="2681" t="s">
        <v>1200</v>
      </c>
      <c r="G408" s="2762">
        <f>'Part III-A-Uses of Funds'!G98</f>
        <v>10000</v>
      </c>
      <c r="H408" s="2762"/>
      <c r="J408" s="2792"/>
      <c r="K408" s="2792"/>
      <c r="L408" s="2795"/>
      <c r="M408" s="2792"/>
      <c r="N408" s="2792"/>
      <c r="P408" s="2792"/>
      <c r="Q408" s="2792"/>
      <c r="S408" s="2762">
        <f>'Part III-A-Uses of Funds'!S98</f>
        <v>10000</v>
      </c>
      <c r="T408" s="2762"/>
      <c r="V408" s="2796"/>
      <c r="W408" s="2797"/>
      <c r="X408" s="2797"/>
      <c r="AZ408" s="2702"/>
      <c r="BA408" s="2682">
        <v>98</v>
      </c>
    </row>
    <row r="409" spans="1:53" s="2681" customFormat="1" ht="12" customHeight="1">
      <c r="B409" s="2681" t="s">
        <v>1201</v>
      </c>
      <c r="G409" s="2762">
        <f>'Part III-A-Uses of Funds'!G99</f>
        <v>10000</v>
      </c>
      <c r="H409" s="2762"/>
      <c r="J409" s="2792"/>
      <c r="K409" s="2792"/>
      <c r="L409" s="2795"/>
      <c r="M409" s="2792"/>
      <c r="N409" s="2792"/>
      <c r="P409" s="2792"/>
      <c r="Q409" s="2792"/>
      <c r="S409" s="2762">
        <f>'Part III-A-Uses of Funds'!S99</f>
        <v>10000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26000</v>
      </c>
      <c r="H413" s="2792"/>
      <c r="J413" s="2792"/>
      <c r="K413" s="2792"/>
      <c r="L413" s="2795"/>
      <c r="M413" s="2792"/>
      <c r="N413" s="2792"/>
      <c r="P413" s="2792"/>
      <c r="Q413" s="2792"/>
      <c r="S413" s="2792">
        <f>SUM(S407:S412)</f>
        <v>26000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5500</v>
      </c>
      <c r="H416" s="2762"/>
      <c r="J416" s="2795"/>
      <c r="K416" s="2795"/>
      <c r="L416" s="2836"/>
      <c r="M416" s="2795"/>
      <c r="N416" s="2795"/>
      <c r="P416" s="2795"/>
      <c r="Q416" s="2795"/>
      <c r="S416" s="2762">
        <f>'Part III-A-Uses of Funds'!S106</f>
        <v>5500</v>
      </c>
      <c r="T416" s="2762"/>
      <c r="V416" s="2796"/>
      <c r="W416" s="2797"/>
      <c r="X416" s="2797"/>
      <c r="Y416" s="2683"/>
      <c r="AA416" s="2819" t="s">
        <v>3155</v>
      </c>
      <c r="AB416" s="2819"/>
      <c r="AC416" s="2819"/>
      <c r="AD416" s="2837">
        <f>'Part V-Revenues &amp; Expenses'!$P$67</f>
        <v>50</v>
      </c>
      <c r="AZ416" s="2702" t="s">
        <v>6390</v>
      </c>
      <c r="BA416" s="2682">
        <v>106</v>
      </c>
    </row>
    <row r="417" spans="1:53" s="2681" customFormat="1" ht="12.6" customHeight="1">
      <c r="B417" s="2681" t="s">
        <v>3321</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6" customHeight="1">
      <c r="B418" s="2681" t="s">
        <v>486</v>
      </c>
      <c r="E418" s="2840">
        <f>ROUNDUP('DCA Underwriting Assumptions'!$Q$53*J501,0)</f>
        <v>82800</v>
      </c>
      <c r="F418" s="2840"/>
      <c r="G418" s="2762">
        <f>'Part III-A-Uses of Funds'!G108</f>
        <v>82800</v>
      </c>
      <c r="H418" s="2762"/>
      <c r="J418" s="2841" t="str">
        <f>IF(E418&gt;G418,"WARNING!  LIHTC Allocation Fee proposed is below minimum required.","")</f>
        <v/>
      </c>
      <c r="K418" s="2795"/>
      <c r="L418" s="2795"/>
      <c r="M418" s="2795"/>
      <c r="N418" s="2795"/>
      <c r="P418" s="2795"/>
      <c r="Q418" s="2795"/>
      <c r="S418" s="2762">
        <f>'Part III-A-Uses of Funds'!S108</f>
        <v>82800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6" customHeight="1">
      <c r="B419" s="2681" t="s">
        <v>702</v>
      </c>
      <c r="E419" s="2840">
        <f>AF421+AF425</f>
        <v>40000</v>
      </c>
      <c r="F419" s="2840"/>
      <c r="G419" s="2762">
        <f>'Part III-A-Uses of Funds'!G109</f>
        <v>50000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50000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50</v>
      </c>
      <c r="AF423" s="2843">
        <f>IF($AD$105="Income Averaging",AD423*'DCA Underwriting Assumptions'!$Q$58,AD423*'DCA Underwriting Assumptions'!$Q$57)</f>
        <v>40000</v>
      </c>
      <c r="AZ423" s="2702" t="s">
        <v>6393</v>
      </c>
      <c r="BA423" s="2682">
        <v>113</v>
      </c>
    </row>
    <row r="424" spans="1:53" s="2681" customFormat="1" ht="12.6" customHeight="1">
      <c r="F424" s="2800" t="s">
        <v>184</v>
      </c>
      <c r="G424" s="2792">
        <f>SUM(G415:G423)</f>
        <v>145300</v>
      </c>
      <c r="H424" s="2792"/>
      <c r="J424" s="2795"/>
      <c r="K424" s="2795"/>
      <c r="L424" s="2795"/>
      <c r="M424" s="2795"/>
      <c r="N424" s="2795"/>
      <c r="P424" s="2795"/>
      <c r="Q424" s="2795"/>
      <c r="S424" s="2792">
        <f>SUM(S415:S423)</f>
        <v>145300</v>
      </c>
      <c r="T424" s="2792"/>
      <c r="V424" s="2796">
        <f>SUM(V415:V423)</f>
        <v>0</v>
      </c>
      <c r="W424" s="2846"/>
      <c r="X424" s="2846"/>
      <c r="AA424" s="2692" t="s">
        <v>6486</v>
      </c>
      <c r="AB424" s="2692"/>
      <c r="AC424" s="2847"/>
      <c r="AD424" s="2842">
        <f>'Part V-Revenues &amp; Expenses'!$P$138+'Part V-Revenues &amp; Expenses'!$P$139</f>
        <v>0</v>
      </c>
      <c r="AF424" s="2843">
        <f>IF($AD$105="Income Averaging",AD424*'DCA Underwriting Assumptions'!$Q$58,AD424*'DCA Underwriting Assumptions'!$Q$57)</f>
        <v>0</v>
      </c>
      <c r="AZ424" s="2702" t="s">
        <v>6394</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50</v>
      </c>
      <c r="AF425" s="2843">
        <f>SUM(AF423:AF424)</f>
        <v>40000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3000</v>
      </c>
      <c r="H430" s="2792"/>
      <c r="J430" s="2792"/>
      <c r="K430" s="2792"/>
      <c r="L430" s="2795"/>
      <c r="M430" s="2792"/>
      <c r="N430" s="2792"/>
      <c r="P430" s="2792"/>
      <c r="Q430" s="2792"/>
      <c r="S430" s="2792">
        <f>SUM(S426:S429)</f>
        <v>3000</v>
      </c>
      <c r="T430" s="2792"/>
      <c r="V430" s="2796">
        <f>SUM(V426:V429)</f>
        <v>0</v>
      </c>
      <c r="W430" s="2797"/>
      <c r="X430" s="2797"/>
      <c r="AC430" s="2848" t="s">
        <v>3927</v>
      </c>
      <c r="AD430" s="2848" t="s">
        <v>3928</v>
      </c>
      <c r="AE430" s="2848" t="s">
        <v>3931</v>
      </c>
      <c r="AF430" s="2849" t="s">
        <v>3929</v>
      </c>
      <c r="AG430" s="2848" t="s">
        <v>3920</v>
      </c>
      <c r="AH430" s="2848" t="s">
        <v>6747</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6395</v>
      </c>
      <c r="BA431" s="2697">
        <v>121</v>
      </c>
    </row>
    <row r="432" spans="1:53" s="2681" customFormat="1" ht="12.6" customHeight="1">
      <c r="B432" s="2681" t="s">
        <v>1724</v>
      </c>
      <c r="F432" s="2773">
        <f>IF($G$127=0,0,G432/$G$127)</f>
        <v>0</v>
      </c>
      <c r="G432" s="2762">
        <f>'Part III-A-Uses of Funds'!G122</f>
        <v>265000</v>
      </c>
      <c r="H432" s="2762"/>
      <c r="J432" s="2762">
        <f>'Part III-A-Uses of Funds'!J122</f>
        <v>265000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6" customHeight="1">
      <c r="B433" s="2681" t="s">
        <v>3414</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6" customHeight="1">
      <c r="B436" s="2681" t="s">
        <v>1717</v>
      </c>
      <c r="F436" s="2773">
        <f>IF($G$127=0,0,G436/$G$127)</f>
        <v>0</v>
      </c>
      <c r="G436" s="2762">
        <f>'Part III-A-Uses of Funds'!G126</f>
        <v>1060000</v>
      </c>
      <c r="H436" s="2762"/>
      <c r="J436" s="2762">
        <f>'Part III-A-Uses of Funds'!J126</f>
        <v>1060000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1325000</v>
      </c>
      <c r="H437" s="2792"/>
      <c r="J437" s="2792">
        <f>SUM(J432:J436)</f>
        <v>1325000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6" customHeight="1">
      <c r="B439" s="2681" t="s">
        <v>241</v>
      </c>
      <c r="G439" s="2762">
        <f>'Part III-A-Uses of Funds'!G129</f>
        <v>30000</v>
      </c>
      <c r="H439" s="2762"/>
      <c r="J439" s="2836"/>
      <c r="K439" s="2836"/>
      <c r="L439" s="2836"/>
      <c r="M439" s="2836"/>
      <c r="N439" s="2836"/>
      <c r="P439" s="2836"/>
      <c r="Q439" s="2836"/>
      <c r="S439" s="2762">
        <f>'Part III-A-Uses of Funds'!S129</f>
        <v>30000</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6" customHeight="1">
      <c r="B440" s="2681" t="s">
        <v>1437</v>
      </c>
      <c r="F440" s="2803">
        <f>+'Part V-Revenues &amp; Expenses'!$Q$228*('DCA Underwriting Assumptions'!$Q$87/12)</f>
        <v>56127.75</v>
      </c>
      <c r="G440" s="2762">
        <f>'Part III-A-Uses of Funds'!G130</f>
        <v>56128</v>
      </c>
      <c r="H440" s="2762"/>
      <c r="J440" s="2861" t="str">
        <f>IF(E440&gt;G440,"WARNING! Rent-Up Reserves proposed is below minimum - add comment.","")</f>
        <v/>
      </c>
      <c r="K440" s="2861"/>
      <c r="L440" s="2795"/>
      <c r="M440" s="2792"/>
      <c r="N440" s="2792"/>
      <c r="P440" s="2792"/>
      <c r="Q440" s="2792"/>
      <c r="S440" s="2762">
        <f>'Part III-A-Uses of Funds'!S130</f>
        <v>56128</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146405.89791850458</v>
      </c>
      <c r="G441" s="2762">
        <f>'Part III-A-Uses of Funds'!G131</f>
        <v>146406</v>
      </c>
      <c r="H441" s="2762"/>
      <c r="J441" s="2861" t="str">
        <f>IF(E441&gt;G441,"WARNING! ODR proposed is below minimum - add comment.","")</f>
        <v/>
      </c>
      <c r="K441" s="2836"/>
      <c r="L441" s="2836"/>
      <c r="M441" s="2836"/>
      <c r="N441" s="2836"/>
      <c r="P441" s="2836"/>
      <c r="Q441" s="2836"/>
      <c r="S441" s="2762">
        <f>'Part III-A-Uses of Funds'!S131</f>
        <v>146406</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6" customHeight="1">
      <c r="B443" s="2681" t="s">
        <v>1172</v>
      </c>
      <c r="E443" s="2802" t="s">
        <v>3141</v>
      </c>
      <c r="F443" s="2803">
        <f>IF('Part V-Revenues &amp; Expenses'!$P$67=0,0,G443/'Part V-Revenues &amp; Expenses'!$P$67)</f>
        <v>1100</v>
      </c>
      <c r="G443" s="2762">
        <f>'Part III-A-Uses of Funds'!G133</f>
        <v>55000</v>
      </c>
      <c r="H443" s="2762"/>
      <c r="J443" s="2762">
        <f>'Part III-A-Uses of Funds'!J133</f>
        <v>55000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6399</v>
      </c>
      <c r="BA443" s="2682">
        <v>133</v>
      </c>
    </row>
    <row r="444" spans="1:53" s="2681" customFormat="1" ht="12.6" customHeight="1">
      <c r="A444" s="2798" t="str">
        <f>IF(AND(G444&gt;0,OR(C444="",C444="&lt;Enter detailed description here; use Comments section if needed&gt;")),"X","")</f>
        <v/>
      </c>
      <c r="B444" s="2692" t="s">
        <v>6282</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287534</v>
      </c>
      <c r="H445" s="2792"/>
      <c r="J445" s="2792">
        <f>SUM(J443:J444)</f>
        <v>55000</v>
      </c>
      <c r="K445" s="2792"/>
      <c r="L445" s="2795"/>
      <c r="M445" s="2792">
        <f>SUM(M443:M444)</f>
        <v>0</v>
      </c>
      <c r="N445" s="2792"/>
      <c r="P445" s="2792">
        <f>SUM(P443:P444)</f>
        <v>0</v>
      </c>
      <c r="Q445" s="2792"/>
      <c r="S445" s="2792">
        <f>SUM(S439:S444)</f>
        <v>232534</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6282</v>
      </c>
      <c r="C453" s="2698" t="str">
        <f>'Part III-A-Uses of Funds'!C143</f>
        <v>Community Improvement Fund</v>
      </c>
      <c r="D453" s="2799"/>
      <c r="E453" s="2799"/>
      <c r="F453" s="2799"/>
      <c r="G453" s="2762">
        <f>'Part III-A-Uses of Funds'!G143</f>
        <v>50000</v>
      </c>
      <c r="H453" s="2762"/>
      <c r="J453" s="2762">
        <f>'Part III-A-Uses of Funds'!J143</f>
        <v>0</v>
      </c>
      <c r="K453" s="2762"/>
      <c r="L453" s="2795"/>
      <c r="M453" s="2762">
        <f>'Part III-A-Uses of Funds'!M143</f>
        <v>0</v>
      </c>
      <c r="N453" s="2762"/>
      <c r="P453" s="2762">
        <f>'Part III-A-Uses of Funds'!P143</f>
        <v>0</v>
      </c>
      <c r="Q453" s="2762"/>
      <c r="S453" s="2762">
        <f>'Part III-A-Uses of Funds'!S143</f>
        <v>50000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50000</v>
      </c>
      <c r="H454" s="2792"/>
      <c r="J454" s="2792">
        <f>SUM(J452:J453)</f>
        <v>0</v>
      </c>
      <c r="K454" s="2792"/>
      <c r="L454" s="2795"/>
      <c r="M454" s="2792">
        <f>SUM(M452:M453)</f>
        <v>0</v>
      </c>
      <c r="N454" s="2792"/>
      <c r="P454" s="2792">
        <f>SUM(P452:P453)</f>
        <v>0</v>
      </c>
      <c r="Q454" s="2792"/>
      <c r="S454" s="2792">
        <f>SUM(S452:S453)</f>
        <v>50000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13471860</v>
      </c>
      <c r="H456" s="2792"/>
      <c r="J456" s="2792">
        <f>J328+J334+J338+J346+J351+J356+J365+J383+J396+J402+J413+J424+J430+J437+J445+J454</f>
        <v>12435611</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1036249</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6756</v>
      </c>
      <c r="C458" s="2814"/>
      <c r="D458" s="2868">
        <f>IF('Part V-Revenues &amp; Expenses'!$P$67=0,0,G456/'Part V-Revenues &amp; Expenses'!$P$67)</f>
        <v>269437.2</v>
      </c>
      <c r="E458" s="2868"/>
      <c r="F458" s="2862" t="s">
        <v>2489</v>
      </c>
      <c r="G458" s="2868">
        <f>IF('Part V-Revenues &amp; Expenses'!$K$175=0,0,G456/'Part V-Revenues &amp; Expenses'!$K$175)</f>
        <v>263.53403755868544</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12435611</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12435611</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12435611</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12435611</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1119204.99</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1119204</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13471860</v>
      </c>
      <c r="K486" s="2769"/>
      <c r="L486" s="2769"/>
      <c r="N486" s="2872" t="s">
        <v>6721</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600110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12871750</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1287175</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6757</v>
      </c>
      <c r="J492" s="2881">
        <f>N492+Q492</f>
        <v>1.24</v>
      </c>
      <c r="K492" s="2881"/>
      <c r="L492" s="2881"/>
      <c r="M492" s="2682" t="s">
        <v>1213</v>
      </c>
      <c r="N492" s="2882">
        <f>'Part III-A-Uses of Funds'!N182</f>
        <v>0.85</v>
      </c>
      <c r="O492" s="2882"/>
      <c r="P492" s="2682" t="s">
        <v>570</v>
      </c>
      <c r="Q492" s="2882">
        <f>'Part III-A-Uses of Funds'!Q182</f>
        <v>0.39</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1038044</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6835</v>
      </c>
      <c r="J497" s="2772">
        <f>'Part III-A-Uses of Funds'!J187</f>
        <v>1035000</v>
      </c>
      <c r="K497" s="2772"/>
      <c r="L497" s="2772"/>
      <c r="Q497" s="2692" t="s">
        <v>6254</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6758</v>
      </c>
      <c r="J499" s="2772">
        <f>'Part III-A-Uses of Funds'!J189</f>
        <v>1035000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6836</v>
      </c>
      <c r="D501" s="2693"/>
      <c r="E501" s="2693"/>
      <c r="F501" s="2694"/>
      <c r="J501" s="2769">
        <f>IF(J499="",0,+MIN(J497,J499))</f>
        <v>1035000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xml:space="preserve">Please find documentation for local government fees included in Tab 2 of this Application. Total hard cost estimates were provided by the general contractor and a third-party engineer – both with numerous historical and currently active experience in GA LIHTC and the proposed Family Walk-Up design. </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Cypress Reserve  -  Adel  -  Cook,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6759</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3.5">
      <c r="A584" s="2895" t="str">
        <f>'Part III-A-Uses of Funds'!$C$143</f>
        <v>Community Improvement Fund</v>
      </c>
      <c r="B584" s="2895"/>
      <c r="C584" s="2895"/>
      <c r="D584" s="2895"/>
      <c r="F584" s="2896" t="str">
        <f>'Part III-B-Other Items'!F77</f>
        <v>The applicant has reduced the total Developer Fee ($1,375,000) by the the $50,000 community improvement fund as a commitment of funds for services to support the provision of community services and resources to the proposed development's future residents and/or neighbors.</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50000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Cypress Reserve,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South</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 xml:space="preserve">GA DCA - Georgia South </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4</v>
      </c>
      <c r="K603" s="2912">
        <f>'Part IV-Utility Allowances'!K12</f>
        <v>5</v>
      </c>
      <c r="L603" s="2912">
        <f>'Part IV-Utility Allowances'!L12</f>
        <v>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7</v>
      </c>
      <c r="K604" s="2912">
        <f>'Part IV-Utility Allowances'!K13</f>
        <v>9</v>
      </c>
      <c r="L604" s="2912">
        <f>'Part IV-Utility Allowances'!L13</f>
        <v>12</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18</v>
      </c>
      <c r="L605" s="2912">
        <f>'Part IV-Utility Allowances'!L14</f>
        <v>23</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10</v>
      </c>
      <c r="K606" s="2912">
        <f>'Part IV-Utility Allowances'!K15</f>
        <v>13</v>
      </c>
      <c r="L606" s="2912">
        <f>'Part IV-Utility Allowances'!L15</f>
        <v>16</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21</v>
      </c>
      <c r="K609" s="2912">
        <f>'Part IV-Utility Allowances'!K18</f>
        <v>27</v>
      </c>
      <c r="L609" s="2912">
        <f>'Part IV-Utility Allowances'!L18</f>
        <v>33</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0</v>
      </c>
      <c r="J610" s="2912">
        <f>'Part IV-Utility Allowances'!J19</f>
        <v>41</v>
      </c>
      <c r="K610" s="2912">
        <f>'Part IV-Utility Allowances'!K19</f>
        <v>52</v>
      </c>
      <c r="L610" s="2912">
        <f>'Part IV-Utility Allowances'!L19</f>
        <v>64</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97</v>
      </c>
      <c r="K613" s="2910">
        <f>IF(SUM(K603:K612)=0,0,IF(OR($D603="&lt;&lt;Select Fuel &gt;&gt;",$D604="&lt;&lt;Select Fuel &gt;&gt;",$D605="&lt;&lt;Select Fuel &gt;&gt;"),"Select Fuel",IF($E610="&lt;Select&gt;","Submeter?",SUM(K603:K612))))</f>
        <v>124</v>
      </c>
      <c r="L613" s="2910">
        <f>IF(SUM(L603:L612)=0,0,IF(OR($D603="&lt;&lt;Select Fuel &gt;&gt;",$D604="&lt;&lt;Select Fuel &gt;&gt;",$D605="&lt;&lt;Select Fuel &gt;&gt;"),"Select Fuel",IF($E610="&lt;Select&gt;","Submeter?",SUM(L603:L612))))</f>
        <v>154</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proposed property is located in Cook County, which is in the DCA Southern Region.</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Cypress Reserve, ,  County</v>
      </c>
      <c r="T640" s="2550" t="str">
        <f>A640</f>
        <v>PART FOUR - PROJECTED REVENUES &amp; EXPENSES  -  2022-0 Cypress Reserve,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6097</v>
      </c>
      <c r="E642" s="2749"/>
      <c r="F642" s="2749"/>
      <c r="G642" s="2749"/>
      <c r="H642" s="2749"/>
      <c r="I642" s="2749"/>
      <c r="J642" s="2749"/>
      <c r="O642" s="2915" t="s">
        <v>534</v>
      </c>
      <c r="P642" s="2916" t="str">
        <f>'Part I-Project Identification'!$O$32</f>
        <v>Cook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6839</v>
      </c>
      <c r="D644" s="2749"/>
      <c r="E644" s="2749"/>
      <c r="F644" s="2749"/>
      <c r="G644" s="2912" t="str">
        <f>'Part V-Revenues &amp; Expenses'!G6</f>
        <v>&lt;Select&gt;</v>
      </c>
      <c r="H644" s="2921" t="s">
        <v>6100</v>
      </c>
      <c r="I644" s="2921"/>
      <c r="J644" s="2921"/>
      <c r="K644" s="2917" t="s">
        <v>3139</v>
      </c>
      <c r="L644" s="2922" t="str">
        <f>'Part I-Project Identification'!$A$6</f>
        <v>May 12 2022 Core Application</v>
      </c>
      <c r="M644" s="2922"/>
      <c r="N644" s="2922"/>
      <c r="O644" s="2923" t="s">
        <v>6764</v>
      </c>
      <c r="P644" s="2924">
        <f>'Part V-Revenues &amp; Expenses'!P6</f>
        <v>63400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6287</v>
      </c>
      <c r="MQ644" s="2918" t="s">
        <v>6288</v>
      </c>
      <c r="MR644" s="2918" t="s">
        <v>6289</v>
      </c>
      <c r="MS644" s="2918" t="s">
        <v>6290</v>
      </c>
      <c r="MT644" s="2918" t="s">
        <v>6291</v>
      </c>
      <c r="NP644" s="2914"/>
    </row>
    <row r="645" spans="1:380" s="2550" customFormat="1" ht="12.6" customHeight="1">
      <c r="A645" s="2920"/>
      <c r="B645" s="2926" t="s">
        <v>6099</v>
      </c>
      <c r="G645" s="2912" t="str">
        <f>'Part V-Revenues &amp; Expenses'!G7</f>
        <v>No</v>
      </c>
      <c r="I645" s="2925" t="s">
        <v>4075</v>
      </c>
      <c r="J645" s="2917" t="s">
        <v>742</v>
      </c>
      <c r="K645" s="2917" t="s">
        <v>3186</v>
      </c>
      <c r="L645" s="2922"/>
      <c r="M645" s="2922"/>
      <c r="N645" s="2922"/>
      <c r="O645" s="2927" t="s">
        <v>6079</v>
      </c>
      <c r="P645" s="2928">
        <f>'Part V-Revenues &amp; Expenses'!P7</f>
        <v>44562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3187</v>
      </c>
      <c r="L646" s="2688"/>
      <c r="M646" s="2688"/>
      <c r="N646" s="2930" t="s">
        <v>6484</v>
      </c>
      <c r="O646" s="2931" t="str">
        <f>'Part V-Revenues &amp; Expenses'!O8</f>
        <v>Novogradac</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6095</v>
      </c>
      <c r="H647" s="2919" t="s">
        <v>3304</v>
      </c>
      <c r="I647" s="2925"/>
      <c r="J647" s="2933" t="s">
        <v>6089</v>
      </c>
      <c r="K647" s="2917" t="s">
        <v>6840</v>
      </c>
      <c r="L647" s="2135" t="s">
        <v>139</v>
      </c>
      <c r="M647" s="2135"/>
      <c r="N647" s="2917" t="s">
        <v>2185</v>
      </c>
      <c r="O647" s="2917" t="s">
        <v>6487</v>
      </c>
      <c r="P647" s="2918" t="s">
        <v>6841</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6501</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3</v>
      </c>
      <c r="F656" s="2941">
        <f>'Part V-Revenues &amp; Expenses'!F18</f>
        <v>704</v>
      </c>
      <c r="G656" s="2941">
        <f>'Part V-Revenues &amp; Expenses'!G18</f>
        <v>594</v>
      </c>
      <c r="H656" s="2941">
        <f>'Part V-Revenues &amp; Expenses'!H18</f>
        <v>552</v>
      </c>
      <c r="I656" s="2941">
        <f>'Part V-Revenues &amp; Expenses'!I18</f>
        <v>0</v>
      </c>
      <c r="J656" s="2941">
        <f>'Part V-Revenues &amp; Expenses'!J18</f>
        <v>97</v>
      </c>
      <c r="K656" s="2942">
        <f>'Part V-Revenues &amp; Expenses'!K18</f>
        <v>0</v>
      </c>
      <c r="L656" s="2943">
        <f t="shared" si="340"/>
        <v>455</v>
      </c>
      <c r="M656" s="2943">
        <f t="shared" si="341"/>
        <v>1365</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3</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2112</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3</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3</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3</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3</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6</v>
      </c>
      <c r="F657" s="2941">
        <f>'Part V-Revenues &amp; Expenses'!F19</f>
        <v>704</v>
      </c>
      <c r="G657" s="2941">
        <f>'Part V-Revenues &amp; Expenses'!G19</f>
        <v>713</v>
      </c>
      <c r="H657" s="2941">
        <f>'Part V-Revenues &amp; Expenses'!H19</f>
        <v>592</v>
      </c>
      <c r="I657" s="2941">
        <f>'Part V-Revenues &amp; Expenses'!I19</f>
        <v>0</v>
      </c>
      <c r="J657" s="2941">
        <f>'Part V-Revenues &amp; Expenses'!J19</f>
        <v>97</v>
      </c>
      <c r="K657" s="2942">
        <f>'Part V-Revenues &amp; Expenses'!K19</f>
        <v>0</v>
      </c>
      <c r="L657" s="2943">
        <f t="shared" si="340"/>
        <v>495</v>
      </c>
      <c r="M657" s="2943">
        <f t="shared" si="341"/>
        <v>2970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6</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4224</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6</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6</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f t="shared" si="259"/>
        <v>6</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6</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3.9" customHeight="1">
      <c r="A658" s="2910" t="str">
        <f t="shared" si="0"/>
        <v/>
      </c>
      <c r="B658" s="2949">
        <f>'Part V-Revenues &amp; Expenses'!B20</f>
        <v>70</v>
      </c>
      <c r="C658" s="2939">
        <f>'Part V-Revenues &amp; Expenses'!C20</f>
        <v>1</v>
      </c>
      <c r="D658" s="2940">
        <f>'Part V-Revenues &amp; Expenses'!D20</f>
        <v>1</v>
      </c>
      <c r="E658" s="2941">
        <f>'Part V-Revenues &amp; Expenses'!E20</f>
        <v>1</v>
      </c>
      <c r="F658" s="2941">
        <f>'Part V-Revenues &amp; Expenses'!F20</f>
        <v>704</v>
      </c>
      <c r="G658" s="2941">
        <f>'Part V-Revenues &amp; Expenses'!G20</f>
        <v>832</v>
      </c>
      <c r="H658" s="2941">
        <f>'Part V-Revenues &amp; Expenses'!H20</f>
        <v>707</v>
      </c>
      <c r="I658" s="2941">
        <f>'Part V-Revenues &amp; Expenses'!I20</f>
        <v>0</v>
      </c>
      <c r="J658" s="2941">
        <f>'Part V-Revenues &amp; Expenses'!J20</f>
        <v>97</v>
      </c>
      <c r="K658" s="2942">
        <f>'Part V-Revenues &amp; Expenses'!K20</f>
        <v>0</v>
      </c>
      <c r="L658" s="2943">
        <f t="shared" si="340"/>
        <v>610</v>
      </c>
      <c r="M658" s="2943">
        <f t="shared" si="341"/>
        <v>610</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f t="shared" si="9"/>
        <v>1</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f t="shared" si="69"/>
        <v>1</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f t="shared" si="124"/>
        <v>704</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f t="shared" si="214"/>
        <v>1</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f t="shared" si="259"/>
        <v>1</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1</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3.9" customHeight="1">
      <c r="A659" s="2910" t="str">
        <f t="shared" si="0"/>
        <v/>
      </c>
      <c r="B659" s="2949">
        <f>'Part V-Revenues &amp; Expenses'!B21</f>
        <v>50</v>
      </c>
      <c r="C659" s="2939">
        <f>'Part V-Revenues &amp; Expenses'!C21</f>
        <v>2</v>
      </c>
      <c r="D659" s="2940">
        <f>'Part V-Revenues &amp; Expenses'!D21</f>
        <v>2</v>
      </c>
      <c r="E659" s="2941">
        <f>'Part V-Revenues &amp; Expenses'!E21</f>
        <v>7</v>
      </c>
      <c r="F659" s="2941">
        <f>'Part V-Revenues &amp; Expenses'!F21</f>
        <v>1005</v>
      </c>
      <c r="G659" s="2941">
        <f>'Part V-Revenues &amp; Expenses'!G21</f>
        <v>713</v>
      </c>
      <c r="H659" s="2941">
        <f>'Part V-Revenues &amp; Expenses'!H21</f>
        <v>664</v>
      </c>
      <c r="I659" s="2941">
        <f>'Part V-Revenues &amp; Expenses'!I21</f>
        <v>0</v>
      </c>
      <c r="J659" s="2941">
        <f>'Part V-Revenues &amp; Expenses'!J21</f>
        <v>124</v>
      </c>
      <c r="K659" s="2942">
        <f>'Part V-Revenues &amp; Expenses'!K21</f>
        <v>0</v>
      </c>
      <c r="L659" s="2943">
        <f t="shared" si="340"/>
        <v>540</v>
      </c>
      <c r="M659" s="2943">
        <f t="shared" si="341"/>
        <v>3780</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7</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7035</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7</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7</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f t="shared" si="260"/>
        <v>7</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7</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14</v>
      </c>
      <c r="F660" s="2941">
        <f>'Part V-Revenues &amp; Expenses'!F22</f>
        <v>1005</v>
      </c>
      <c r="G660" s="2941">
        <f>'Part V-Revenues &amp; Expenses'!G22</f>
        <v>856</v>
      </c>
      <c r="H660" s="2941">
        <f>'Part V-Revenues &amp; Expenses'!H22</f>
        <v>709</v>
      </c>
      <c r="I660" s="2941">
        <f>'Part V-Revenues &amp; Expenses'!I22</f>
        <v>0</v>
      </c>
      <c r="J660" s="2941">
        <f>'Part V-Revenues &amp; Expenses'!J22</f>
        <v>124</v>
      </c>
      <c r="K660" s="2942">
        <f>'Part V-Revenues &amp; Expenses'!K22</f>
        <v>0</v>
      </c>
      <c r="L660" s="2943">
        <f t="shared" si="340"/>
        <v>585</v>
      </c>
      <c r="M660" s="2943">
        <f t="shared" si="341"/>
        <v>8190</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14</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14070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14</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14</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14</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14</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3.9" customHeight="1">
      <c r="A661" s="2910" t="str">
        <f t="shared" si="0"/>
        <v/>
      </c>
      <c r="B661" s="2949">
        <f>'Part V-Revenues &amp; Expenses'!B23</f>
        <v>70</v>
      </c>
      <c r="C661" s="2939">
        <f>'Part V-Revenues &amp; Expenses'!C23</f>
        <v>2</v>
      </c>
      <c r="D661" s="2940">
        <f>'Part V-Revenues &amp; Expenses'!D23</f>
        <v>2</v>
      </c>
      <c r="E661" s="2941">
        <f>'Part V-Revenues &amp; Expenses'!E23</f>
        <v>3</v>
      </c>
      <c r="F661" s="2941">
        <f>'Part V-Revenues &amp; Expenses'!F23</f>
        <v>1005</v>
      </c>
      <c r="G661" s="2941">
        <f>'Part V-Revenues &amp; Expenses'!G23</f>
        <v>999</v>
      </c>
      <c r="H661" s="2941">
        <f>'Part V-Revenues &amp; Expenses'!H23</f>
        <v>824</v>
      </c>
      <c r="I661" s="2941">
        <f>'Part V-Revenues &amp; Expenses'!I23</f>
        <v>0</v>
      </c>
      <c r="J661" s="2941">
        <f>'Part V-Revenues &amp; Expenses'!J23</f>
        <v>124</v>
      </c>
      <c r="K661" s="2942">
        <f>'Part V-Revenues &amp; Expenses'!K23</f>
        <v>0</v>
      </c>
      <c r="L661" s="2943">
        <f t="shared" si="340"/>
        <v>700</v>
      </c>
      <c r="M661" s="2943">
        <f t="shared" si="341"/>
        <v>2100</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f t="shared" si="10"/>
        <v>3</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f t="shared" si="70"/>
        <v>3</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f t="shared" si="125"/>
        <v>3015</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3</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f t="shared" si="215"/>
        <v>3</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f t="shared" si="260"/>
        <v>3</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3</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3.9" customHeight="1">
      <c r="A662" s="2910" t="str">
        <f t="shared" si="0"/>
        <v/>
      </c>
      <c r="B662" s="2949">
        <f>'Part V-Revenues &amp; Expenses'!B24</f>
        <v>50</v>
      </c>
      <c r="C662" s="2939">
        <f>'Part V-Revenues &amp; Expenses'!C24</f>
        <v>3</v>
      </c>
      <c r="D662" s="2940">
        <f>'Part V-Revenues &amp; Expenses'!D24</f>
        <v>2</v>
      </c>
      <c r="E662" s="2941">
        <f>'Part V-Revenues &amp; Expenses'!E24</f>
        <v>5</v>
      </c>
      <c r="F662" s="2941">
        <f>'Part V-Revenues &amp; Expenses'!F24</f>
        <v>1110</v>
      </c>
      <c r="G662" s="2941">
        <f>'Part V-Revenues &amp; Expenses'!G24</f>
        <v>824</v>
      </c>
      <c r="H662" s="2941">
        <f>'Part V-Revenues &amp; Expenses'!H24</f>
        <v>749</v>
      </c>
      <c r="I662" s="2941">
        <f>'Part V-Revenues &amp; Expenses'!I24</f>
        <v>0</v>
      </c>
      <c r="J662" s="2941">
        <f>'Part V-Revenues &amp; Expenses'!J24</f>
        <v>154</v>
      </c>
      <c r="K662" s="2942">
        <f>'Part V-Revenues &amp; Expenses'!K24</f>
        <v>0</v>
      </c>
      <c r="L662" s="2943">
        <f t="shared" si="340"/>
        <v>595</v>
      </c>
      <c r="M662" s="2943">
        <f t="shared" si="341"/>
        <v>2975</v>
      </c>
      <c r="N662" s="2775" t="str">
        <f>'Part V-Revenues &amp; Expenses'!N24</f>
        <v>No</v>
      </c>
      <c r="O662" s="2944" t="str">
        <f>'Part V-Revenues &amp; Expenses'!O24</f>
        <v>Low-Rise Apt</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f t="shared" si="21"/>
        <v>5</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f t="shared" si="136"/>
        <v>5550</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5</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f t="shared" si="216"/>
        <v>5</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f t="shared" si="261"/>
        <v>5</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5</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3.9" customHeight="1">
      <c r="A663" s="2910" t="str">
        <f t="shared" si="0"/>
        <v/>
      </c>
      <c r="B663" s="2949">
        <f>'Part V-Revenues &amp; Expenses'!B25</f>
        <v>60</v>
      </c>
      <c r="C663" s="2939">
        <f>'Part V-Revenues &amp; Expenses'!C25</f>
        <v>3</v>
      </c>
      <c r="D663" s="2940">
        <f>'Part V-Revenues &amp; Expenses'!D25</f>
        <v>2</v>
      </c>
      <c r="E663" s="2941">
        <f>'Part V-Revenues &amp; Expenses'!E25</f>
        <v>10</v>
      </c>
      <c r="F663" s="2941">
        <f>'Part V-Revenues &amp; Expenses'!F25</f>
        <v>1110</v>
      </c>
      <c r="G663" s="2941">
        <f>'Part V-Revenues &amp; Expenses'!G25</f>
        <v>989</v>
      </c>
      <c r="H663" s="2941">
        <f>'Part V-Revenues &amp; Expenses'!H25</f>
        <v>799</v>
      </c>
      <c r="I663" s="2941">
        <f>'Part V-Revenues &amp; Expenses'!I25</f>
        <v>0</v>
      </c>
      <c r="J663" s="2941">
        <f>'Part V-Revenues &amp; Expenses'!J25</f>
        <v>154</v>
      </c>
      <c r="K663" s="2942">
        <f>'Part V-Revenues &amp; Expenses'!K25</f>
        <v>0</v>
      </c>
      <c r="L663" s="2943">
        <f t="shared" ref="L663:L686" si="342">MAX(0,H663-I663-J663)</f>
        <v>645</v>
      </c>
      <c r="M663" s="2943">
        <f t="shared" ref="M663:M686" si="343">MAX(0,E663*L663)</f>
        <v>6450</v>
      </c>
      <c r="N663" s="2775" t="str">
        <f>'Part V-Revenues &amp; Expenses'!N25</f>
        <v>No</v>
      </c>
      <c r="O663" s="2944" t="str">
        <f>'Part V-Revenues &amp; Expenses'!O25</f>
        <v>Low-Rise Apt</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f t="shared" si="16"/>
        <v>10</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f t="shared" si="131"/>
        <v>11100</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f t="shared" si="171"/>
        <v>10</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f t="shared" si="216"/>
        <v>10</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f t="shared" si="261"/>
        <v>10</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10</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3.9" customHeight="1">
      <c r="A664" s="2910" t="str">
        <f t="shared" si="0"/>
        <v/>
      </c>
      <c r="B664" s="2949">
        <f>'Part V-Revenues &amp; Expenses'!B26</f>
        <v>70</v>
      </c>
      <c r="C664" s="2939">
        <f>'Part V-Revenues &amp; Expenses'!C26</f>
        <v>3</v>
      </c>
      <c r="D664" s="2940">
        <f>'Part V-Revenues &amp; Expenses'!D26</f>
        <v>2</v>
      </c>
      <c r="E664" s="2941">
        <f>'Part V-Revenues &amp; Expenses'!E26</f>
        <v>1</v>
      </c>
      <c r="F664" s="2941">
        <f>'Part V-Revenues &amp; Expenses'!F26</f>
        <v>1110</v>
      </c>
      <c r="G664" s="2941">
        <f>'Part V-Revenues &amp; Expenses'!G26</f>
        <v>1154</v>
      </c>
      <c r="H664" s="2941">
        <f>'Part V-Revenues &amp; Expenses'!H26</f>
        <v>899</v>
      </c>
      <c r="I664" s="2941">
        <f>'Part V-Revenues &amp; Expenses'!I26</f>
        <v>0</v>
      </c>
      <c r="J664" s="2941">
        <f>'Part V-Revenues &amp; Expenses'!J26</f>
        <v>154</v>
      </c>
      <c r="K664" s="2942">
        <f>'Part V-Revenues &amp; Expenses'!K26</f>
        <v>0</v>
      </c>
      <c r="L664" s="2943">
        <f t="shared" si="342"/>
        <v>745</v>
      </c>
      <c r="M664" s="2943">
        <f t="shared" si="343"/>
        <v>745</v>
      </c>
      <c r="N664" s="2775" t="str">
        <f>'Part V-Revenues &amp; Expenses'!N26</f>
        <v>No</v>
      </c>
      <c r="O664" s="2944" t="str">
        <f>'Part V-Revenues &amp; Expenses'!O26</f>
        <v>Low-Rise Apt</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1</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1</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1110</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1</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f t="shared" si="216"/>
        <v>1</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f t="shared" si="261"/>
        <v>1</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1</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50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48920</v>
      </c>
      <c r="H687" s="2953" t="s">
        <v>3768</v>
      </c>
      <c r="I687" s="2954" t="s">
        <v>3769</v>
      </c>
      <c r="J687" s="2955" t="str">
        <f>IF(P705=0,"",IF(SUM(P696:P700)/P705&gt;=0.4,"Pass","Fail"))</f>
        <v>Pass</v>
      </c>
      <c r="K687" s="475"/>
      <c r="L687" s="2950" t="s">
        <v>1226</v>
      </c>
      <c r="M687" s="2956">
        <f>SUM(M649:M686)</f>
        <v>29185</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1</v>
      </c>
      <c r="AE687" s="2948">
        <f t="shared" si="344"/>
        <v>3</v>
      </c>
      <c r="AF687" s="2948">
        <f t="shared" si="344"/>
        <v>1</v>
      </c>
      <c r="AG687" s="2948">
        <f t="shared" si="344"/>
        <v>0</v>
      </c>
      <c r="AH687" s="2948">
        <f t="shared" si="344"/>
        <v>0</v>
      </c>
      <c r="AI687" s="2948">
        <f t="shared" si="344"/>
        <v>6</v>
      </c>
      <c r="AJ687" s="2948">
        <f t="shared" si="344"/>
        <v>14</v>
      </c>
      <c r="AK687" s="2948">
        <f t="shared" si="344"/>
        <v>10</v>
      </c>
      <c r="AL687" s="2948">
        <f t="shared" si="344"/>
        <v>0</v>
      </c>
      <c r="AM687" s="2948">
        <f>SUM(AM649:AM686)</f>
        <v>0</v>
      </c>
      <c r="AN687" s="2948">
        <f>SUM(AN649:AN686)</f>
        <v>3</v>
      </c>
      <c r="AO687" s="2948">
        <f>SUM(AO649:AO686)</f>
        <v>7</v>
      </c>
      <c r="AP687" s="2948">
        <f>SUM(AP649:AP686)</f>
        <v>5</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1</v>
      </c>
      <c r="CM687" s="2948">
        <f>SUM(CM649:CM686)</f>
        <v>3</v>
      </c>
      <c r="CN687" s="2948">
        <f>SUM(CN649:CN686)</f>
        <v>1</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704</v>
      </c>
      <c r="EP687" s="2948">
        <f t="shared" si="344"/>
        <v>3015</v>
      </c>
      <c r="EQ687" s="2948">
        <f t="shared" si="344"/>
        <v>1110</v>
      </c>
      <c r="ER687" s="2948">
        <f t="shared" si="344"/>
        <v>0</v>
      </c>
      <c r="ES687" s="2948">
        <f t="shared" si="344"/>
        <v>0</v>
      </c>
      <c r="ET687" s="2948">
        <f t="shared" si="344"/>
        <v>4224</v>
      </c>
      <c r="EU687" s="2948">
        <f t="shared" si="344"/>
        <v>14070</v>
      </c>
      <c r="EV687" s="2948">
        <f t="shared" si="344"/>
        <v>11100</v>
      </c>
      <c r="EW687" s="2948">
        <f t="shared" si="344"/>
        <v>0</v>
      </c>
      <c r="EX687" s="2948">
        <f t="shared" si="344"/>
        <v>0</v>
      </c>
      <c r="EY687" s="2948">
        <f t="shared" si="344"/>
        <v>2112</v>
      </c>
      <c r="EZ687" s="2948">
        <f t="shared" si="344"/>
        <v>7035</v>
      </c>
      <c r="FA687" s="2948">
        <f t="shared" si="344"/>
        <v>5550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10</v>
      </c>
      <c r="GI687" s="2948">
        <f t="shared" si="346"/>
        <v>24</v>
      </c>
      <c r="GJ687" s="2948">
        <f t="shared" si="346"/>
        <v>16</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10</v>
      </c>
      <c r="IB687" s="2948">
        <f t="shared" si="347"/>
        <v>24</v>
      </c>
      <c r="IC687" s="2948">
        <f t="shared" si="347"/>
        <v>16</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10</v>
      </c>
      <c r="JU687" s="2948">
        <f t="shared" si="347"/>
        <v>24</v>
      </c>
      <c r="JV687" s="2948">
        <f t="shared" si="347"/>
        <v>16</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10</v>
      </c>
      <c r="MM687" s="2948">
        <f t="shared" si="348"/>
        <v>24</v>
      </c>
      <c r="MN687" s="2948">
        <f t="shared" si="348"/>
        <v>16</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v>
      </c>
      <c r="C688" s="2957"/>
      <c r="D688" s="2910" t="s">
        <v>3678</v>
      </c>
      <c r="E688" s="2951">
        <f>SUM(E656:E686)</f>
        <v>50</v>
      </c>
      <c r="F688" s="2952">
        <f>(E656*F656+E657*F657+E658*F658+E659*F659+E660*F660+E661*F661+E662*F662+E663*F663+E664*F664+E665*F665+E666*F666+E667*F667+E668*F668+E669*F669+E670*F670+E671*F671+E672*F672+E673*F673+E674*F674+E675*F675+E676*F676+E677*F677+E678*F678+E679*F679+E680*F680+E681*F681+E682*F682+E683*F683+E684*F684+E685*F685+E686*F686)</f>
        <v>48920</v>
      </c>
      <c r="H688" s="2953"/>
      <c r="I688" s="2954" t="s">
        <v>3770</v>
      </c>
      <c r="J688" s="2955" t="str">
        <f>IF(P705=0,"",IF(SUM(P697:P700)/P705&gt;=0.2,"Pass","Fail"))</f>
        <v>Pass</v>
      </c>
      <c r="K688" s="475"/>
      <c r="L688" s="2950" t="s">
        <v>757</v>
      </c>
      <c r="M688" s="2956">
        <f>M687*12</f>
        <v>350220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6649</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6498</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1</v>
      </c>
      <c r="M695" s="2962">
        <f>AE687</f>
        <v>3</v>
      </c>
      <c r="N695" s="2962">
        <f>AF687</f>
        <v>1</v>
      </c>
      <c r="O695" s="2962">
        <f>AG687</f>
        <v>0</v>
      </c>
      <c r="P695" s="2962">
        <f t="shared" si="349"/>
        <v>5</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6</v>
      </c>
      <c r="M696" s="2962">
        <f>AJ687</f>
        <v>14</v>
      </c>
      <c r="N696" s="2962">
        <f>AK687</f>
        <v>10</v>
      </c>
      <c r="O696" s="2962">
        <f>AL687</f>
        <v>0</v>
      </c>
      <c r="P696" s="2962">
        <f t="shared" si="349"/>
        <v>30</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3</v>
      </c>
      <c r="M697" s="2962">
        <f>AO687</f>
        <v>7</v>
      </c>
      <c r="N697" s="2962">
        <f>AP687</f>
        <v>5</v>
      </c>
      <c r="O697" s="2962">
        <f>AQ687</f>
        <v>0</v>
      </c>
      <c r="P697" s="2962">
        <f t="shared" si="349"/>
        <v>15</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10</v>
      </c>
      <c r="M701" s="2962">
        <f>SUM(M694:M700)</f>
        <v>24</v>
      </c>
      <c r="N701" s="2962">
        <f>SUM(N694:N700)</f>
        <v>16</v>
      </c>
      <c r="O701" s="2962">
        <f>SUM(O694:O700)</f>
        <v>0</v>
      </c>
      <c r="P701" s="2962">
        <f t="shared" si="349"/>
        <v>50</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10</v>
      </c>
      <c r="M703" s="2968">
        <f>SUM(M701:M702)</f>
        <v>24</v>
      </c>
      <c r="N703" s="2968">
        <f>SUM(N701:N702)</f>
        <v>16</v>
      </c>
      <c r="O703" s="2968">
        <f>SUM(O701:O702)</f>
        <v>0</v>
      </c>
      <c r="P703" s="2968">
        <f t="shared" si="349"/>
        <v>50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10</v>
      </c>
      <c r="M705" s="2962">
        <f>SUM(M703:M704)</f>
        <v>24</v>
      </c>
      <c r="N705" s="2962">
        <f>SUM(N703:N704)</f>
        <v>16</v>
      </c>
      <c r="O705" s="2962">
        <f>SUM(O703:O704)</f>
        <v>0</v>
      </c>
      <c r="P705" s="2962">
        <f t="shared" si="349"/>
        <v>50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3680</v>
      </c>
      <c r="I711" s="2971"/>
      <c r="J711" s="2550"/>
      <c r="K711" s="2973" t="str">
        <f t="shared" ref="K711:P711" si="352">IF(OR(K695=0,K705=0),"",K695/K705)</f>
        <v/>
      </c>
      <c r="L711" s="2973">
        <f t="shared" si="352"/>
        <v>0.1</v>
      </c>
      <c r="M711" s="2973">
        <f t="shared" si="352"/>
        <v>0.125</v>
      </c>
      <c r="N711" s="2973">
        <f t="shared" si="352"/>
        <v>6.25E-2</v>
      </c>
      <c r="O711" s="2973" t="str">
        <f t="shared" si="352"/>
        <v/>
      </c>
      <c r="P711" s="2973">
        <f t="shared" si="352"/>
        <v>0.1</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f>IF(OR(L695=0,P711="",L705=0),"",P711*L705)</f>
        <v>1</v>
      </c>
      <c r="M712" s="2975">
        <f>IF(OR(M695=0,P711="",M705=0),"",P711*M705)</f>
        <v>2.4000000000000004</v>
      </c>
      <c r="N712" s="2975">
        <f>IF(OR(N695=0,P711="",N705=0),"",P711*N705)</f>
        <v>1.6</v>
      </c>
      <c r="O712" s="2975" t="str">
        <f>IF(OR(O695=0,P711="",O705=0),"",P711*O705)</f>
        <v/>
      </c>
      <c r="P712" s="2975">
        <f>IF(OR(P711="",P705=0),"",P711*P705)</f>
        <v>5</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f t="shared" si="353"/>
        <v>0</v>
      </c>
      <c r="M713" s="2975">
        <f t="shared" si="353"/>
        <v>0.59999999999999964</v>
      </c>
      <c r="N713" s="2975">
        <f t="shared" si="353"/>
        <v>-0.60000000000000009</v>
      </c>
      <c r="O713" s="2975" t="str">
        <f t="shared" si="353"/>
        <v/>
      </c>
      <c r="P713" s="2975">
        <f t="shared" si="353"/>
        <v>0</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0.6</v>
      </c>
      <c r="M714" s="2973">
        <f t="shared" si="354"/>
        <v>0.58333333333333337</v>
      </c>
      <c r="N714" s="2973">
        <f t="shared" si="354"/>
        <v>0.625</v>
      </c>
      <c r="O714" s="2973" t="str">
        <f t="shared" si="354"/>
        <v/>
      </c>
      <c r="P714" s="2973">
        <f t="shared" si="354"/>
        <v>0.6</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6</v>
      </c>
      <c r="M715" s="2975">
        <f>IF(OR(M696=0,P714="",M705=0),"",P714*M705)</f>
        <v>14.399999999999999</v>
      </c>
      <c r="N715" s="2975">
        <f>IF(OR(N696=0,P714="",N705=0),"",P714*N705)</f>
        <v>9.6</v>
      </c>
      <c r="O715" s="2975" t="str">
        <f>IF(OR(O696=0,P714="",O705=0),"",P714*O705)</f>
        <v/>
      </c>
      <c r="P715" s="2975">
        <f>IF(OR(P714="",P705=0),"",P714*P705)</f>
        <v>30</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5">IF(OR(K715="",K696=0),"", K696-K715)</f>
        <v/>
      </c>
      <c r="L716" s="2975">
        <f t="shared" si="355"/>
        <v>0</v>
      </c>
      <c r="M716" s="2975">
        <f t="shared" si="355"/>
        <v>-0.39999999999999858</v>
      </c>
      <c r="N716" s="2975">
        <f t="shared" si="355"/>
        <v>0.40000000000000036</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0.3</v>
      </c>
      <c r="M717" s="2973">
        <f t="shared" si="356"/>
        <v>0.29166666666666669</v>
      </c>
      <c r="N717" s="2973">
        <f t="shared" si="356"/>
        <v>0.3125</v>
      </c>
      <c r="O717" s="2973" t="str">
        <f t="shared" si="356"/>
        <v/>
      </c>
      <c r="P717" s="2973">
        <f t="shared" si="356"/>
        <v>0.3</v>
      </c>
    </row>
    <row r="718" spans="1:380">
      <c r="C718" s="2977"/>
      <c r="D718" s="2977"/>
      <c r="E718" s="2977"/>
      <c r="F718" s="652"/>
      <c r="G718" s="652"/>
      <c r="H718" s="2970" t="s">
        <v>6843</v>
      </c>
      <c r="I718" s="2971"/>
      <c r="J718" s="2550"/>
      <c r="K718" s="2975" t="str">
        <f>IF(OR(K697=0,P717="",K705=0),"",P717*K705)</f>
        <v/>
      </c>
      <c r="L718" s="2975">
        <f>IF(OR(L697=0,P717="",L705=0),"",P717*L705)</f>
        <v>3</v>
      </c>
      <c r="M718" s="2975">
        <f>IF(OR(M697=0,P717="",M705=0),"",P717*M705)</f>
        <v>7.1999999999999993</v>
      </c>
      <c r="N718" s="2975">
        <f>IF(OR(N697=0,P717="",N705=0),"",P717*N705)</f>
        <v>4.8</v>
      </c>
      <c r="O718" s="2975" t="str">
        <f>IF(OR(O697=0,P717="",O705=0),"",P717*O705)</f>
        <v/>
      </c>
      <c r="P718" s="2975">
        <f>IF(OR(P717="",P705=0),"",P717*P705)</f>
        <v>15</v>
      </c>
    </row>
    <row r="719" spans="1:380">
      <c r="C719" s="2977"/>
      <c r="D719" s="2977"/>
      <c r="E719" s="2977"/>
      <c r="F719" s="652"/>
      <c r="G719" s="2976"/>
      <c r="H719" s="2970" t="s">
        <v>6844</v>
      </c>
      <c r="I719" s="2971"/>
      <c r="J719" s="2550"/>
      <c r="K719" s="2975" t="str">
        <f t="shared" ref="K719:P719" si="357">IF(OR(K718="",K697=0),"", K697-K718)</f>
        <v/>
      </c>
      <c r="L719" s="2975">
        <f t="shared" si="357"/>
        <v>0</v>
      </c>
      <c r="M719" s="2975">
        <f t="shared" si="357"/>
        <v>-0.19999999999999929</v>
      </c>
      <c r="N719" s="2975">
        <f t="shared" si="357"/>
        <v>0.20000000000000018</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1</v>
      </c>
      <c r="M732" s="2962">
        <f>CM687</f>
        <v>3</v>
      </c>
      <c r="N732" s="2962">
        <f>CN687</f>
        <v>1</v>
      </c>
      <c r="O732" s="2962">
        <f>CO687</f>
        <v>0</v>
      </c>
      <c r="P732" s="2962">
        <f t="shared" si="364"/>
        <v>5</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v>
      </c>
      <c r="M738" s="2962">
        <f>SUM(M731:M737)</f>
        <v>3</v>
      </c>
      <c r="N738" s="2962">
        <f>SUM(N731:N737)</f>
        <v>1</v>
      </c>
      <c r="O738" s="2962">
        <f>SUM(O731:O737)</f>
        <v>0</v>
      </c>
      <c r="P738" s="2962">
        <f t="shared" si="364"/>
        <v>5</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10</v>
      </c>
      <c r="M751" s="2962">
        <f>GI687</f>
        <v>24</v>
      </c>
      <c r="N751" s="2962">
        <f>GJ687</f>
        <v>16</v>
      </c>
      <c r="O751" s="2962">
        <f>GK687</f>
        <v>0</v>
      </c>
      <c r="P751" s="2962">
        <f t="shared" ref="P751:P761" si="366">SUM(K751:O751)</f>
        <v>50</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10</v>
      </c>
      <c r="M753" s="2962">
        <f>SUM(M751:M752)+GS687</f>
        <v>24</v>
      </c>
      <c r="N753" s="2962">
        <f>SUM(N751:N752)+GT687</f>
        <v>16</v>
      </c>
      <c r="O753" s="2962">
        <f>SUM(O751:O752)+GU687</f>
        <v>0</v>
      </c>
      <c r="P753" s="2962">
        <f t="shared" si="366"/>
        <v>50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10</v>
      </c>
      <c r="M765" s="2962">
        <f t="shared" si="367"/>
        <v>24</v>
      </c>
      <c r="N765" s="2962">
        <f t="shared" si="367"/>
        <v>16</v>
      </c>
      <c r="O765" s="2962">
        <f t="shared" si="367"/>
        <v>0</v>
      </c>
      <c r="P765" s="2962">
        <f t="shared" si="367"/>
        <v>50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10</v>
      </c>
      <c r="M766" s="2962">
        <f>JU687</f>
        <v>24</v>
      </c>
      <c r="N766" s="2962">
        <f>JV687</f>
        <v>16</v>
      </c>
      <c r="O766" s="2962">
        <f>JW687</f>
        <v>0</v>
      </c>
      <c r="P766" s="2962">
        <f t="shared" ref="P766:P781" si="368">SUM(K766:O766)</f>
        <v>50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10</v>
      </c>
      <c r="M789" s="2962">
        <f t="shared" si="372"/>
        <v>24</v>
      </c>
      <c r="N789" s="2962">
        <f t="shared" si="372"/>
        <v>16</v>
      </c>
      <c r="O789" s="2962">
        <f t="shared" si="372"/>
        <v>0</v>
      </c>
      <c r="P789" s="2962">
        <f t="shared" si="370"/>
        <v>50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704</v>
      </c>
      <c r="M796" s="2986">
        <f>EP687</f>
        <v>3015</v>
      </c>
      <c r="N796" s="2986">
        <f>EQ687</f>
        <v>1110</v>
      </c>
      <c r="O796" s="2986">
        <f>ER687</f>
        <v>0</v>
      </c>
      <c r="P796" s="2986">
        <f t="shared" si="373"/>
        <v>4829</v>
      </c>
      <c r="Q796" s="2987">
        <f t="shared" si="374"/>
        <v>965.8</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4224</v>
      </c>
      <c r="M797" s="2986">
        <f>EU687</f>
        <v>14070</v>
      </c>
      <c r="N797" s="2986">
        <f>EV687</f>
        <v>11100</v>
      </c>
      <c r="O797" s="2986">
        <f>EW687</f>
        <v>0</v>
      </c>
      <c r="P797" s="2986">
        <f t="shared" si="373"/>
        <v>29394</v>
      </c>
      <c r="Q797" s="2987">
        <f t="shared" si="374"/>
        <v>979.8</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2112</v>
      </c>
      <c r="M798" s="2986">
        <f>EZ687</f>
        <v>7035</v>
      </c>
      <c r="N798" s="2986">
        <f>FA687</f>
        <v>5550</v>
      </c>
      <c r="O798" s="2986">
        <f>FB687</f>
        <v>0</v>
      </c>
      <c r="P798" s="2986">
        <f t="shared" si="373"/>
        <v>14697</v>
      </c>
      <c r="Q798" s="2987">
        <f t="shared" si="374"/>
        <v>979.8</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7040</v>
      </c>
      <c r="M802" s="2988">
        <f>SUM(M795:M801)</f>
        <v>24120</v>
      </c>
      <c r="N802" s="2988">
        <f>SUM(N795:N801)</f>
        <v>17760</v>
      </c>
      <c r="O802" s="2988">
        <f>SUM(O795:O801)</f>
        <v>0</v>
      </c>
      <c r="P802" s="2988">
        <f>SUM(K802:O802)</f>
        <v>48920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7040</v>
      </c>
      <c r="M804" s="2988">
        <f>SUM(M802:M803)</f>
        <v>24120</v>
      </c>
      <c r="N804" s="2988">
        <f>SUM(N802:N803)</f>
        <v>17760</v>
      </c>
      <c r="O804" s="2988">
        <f>SUM(O802:O803)</f>
        <v>0</v>
      </c>
      <c r="P804" s="2988">
        <f>SUM(K804:O804)</f>
        <v>48920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7040</v>
      </c>
      <c r="M806" s="2986">
        <f>SUM(M804:M805)</f>
        <v>24120</v>
      </c>
      <c r="N806" s="2986">
        <f>SUM(N804:N805)</f>
        <v>17760</v>
      </c>
      <c r="O806" s="2986">
        <f>SUM(O804:O805)</f>
        <v>0</v>
      </c>
      <c r="P806" s="2986">
        <f>SUM(K806:O806)</f>
        <v>48920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704</v>
      </c>
      <c r="M809" s="2989">
        <f>IF(OR(M705="",M705=0),"",M806/M705)</f>
        <v>1005</v>
      </c>
      <c r="N809" s="2989">
        <f>IF(OR(N705="",N705=0),"",N806/N705)</f>
        <v>1110</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2200</v>
      </c>
      <c r="L812" s="2764"/>
      <c r="Z812" s="2682">
        <v>68</v>
      </c>
    </row>
    <row r="813" spans="1:380" s="2681" customFormat="1" ht="13.35" customHeight="1">
      <c r="A813" s="2682"/>
      <c r="C813" s="2693" t="s">
        <v>242</v>
      </c>
      <c r="K813" s="2990">
        <f>P806+K812</f>
        <v>51120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6851</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7004.4000000000005</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24000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50000</v>
      </c>
      <c r="G859" s="3008"/>
      <c r="I859" s="2550" t="s">
        <v>1301</v>
      </c>
      <c r="L859" s="3008">
        <f>'Part V-Revenues &amp; Expenses'!L221</f>
        <v>0</v>
      </c>
      <c r="M859" s="3008"/>
      <c r="O859" s="3009">
        <f>+Q858/(P705*0.93)</f>
        <v>516.12903225806451</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30000</v>
      </c>
      <c r="G860" s="3008"/>
      <c r="I860" s="2550" t="s">
        <v>1302</v>
      </c>
      <c r="L860" s="3008">
        <f>'Part V-Revenues &amp; Expenses'!L222</f>
        <v>600</v>
      </c>
      <c r="M860" s="3008"/>
      <c r="O860" s="3009">
        <f>+Q858/(P705*0.93)/12</f>
        <v>43.01075268817204</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80000</v>
      </c>
      <c r="G865" s="2986"/>
      <c r="I865" s="2550" t="s">
        <v>1498</v>
      </c>
      <c r="L865" s="3008">
        <f>'Part V-Revenues &amp; Expenses'!L227</f>
        <v>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224511</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v>
      </c>
      <c r="M867" s="3008"/>
      <c r="N867" s="2925"/>
      <c r="O867" s="2967" t="s">
        <v>2488</v>
      </c>
      <c r="P867" s="3009">
        <f>+Q866/P705</f>
        <v>4490.22</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1950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3000</v>
      </c>
      <c r="G869" s="3008"/>
      <c r="K869" s="3010" t="s">
        <v>184</v>
      </c>
      <c r="L869" s="2989">
        <f>SUM(L865:L868)</f>
        <v>8000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6000</v>
      </c>
      <c r="G872" s="3008"/>
      <c r="I872" s="2550" t="s">
        <v>1298</v>
      </c>
      <c r="K872" s="2682" t="s">
        <v>3888</v>
      </c>
      <c r="O872" s="2550" t="s">
        <v>3088</v>
      </c>
      <c r="Q872" s="3015">
        <f>'Part V-Revenues &amp; Expenses'!Q234</f>
        <v>12500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12.5</v>
      </c>
      <c r="L873" s="3008">
        <f>'Part V-Revenues &amp; Expenses'!L235</f>
        <v>7500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10950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5</v>
      </c>
      <c r="L875" s="3008">
        <f>'Part V-Revenues &amp; Expenses'!L237</f>
        <v>3000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8.3333333333333339</v>
      </c>
      <c r="L876" s="3008">
        <f>'Part V-Revenues &amp; Expenses'!L238</f>
        <v>5000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2500</v>
      </c>
      <c r="G877" s="3008"/>
      <c r="I877" s="2550" t="s">
        <v>6852</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9000</v>
      </c>
      <c r="G878" s="3008"/>
      <c r="I878" s="3013" t="str">
        <f>'Part V-Revenues &amp; Expenses'!I240</f>
        <v>TV, Internet &amp; Cable</v>
      </c>
      <c r="J878" s="3013"/>
      <c r="K878" s="2803">
        <f>L878/12/P705</f>
        <v>3.333333333333333</v>
      </c>
      <c r="L878" s="3008">
        <f>'Part V-Revenues &amp; Expenses'!L240</f>
        <v>2000</v>
      </c>
      <c r="M878" s="3008"/>
      <c r="N878" s="2925"/>
      <c r="O878" s="2692" t="s">
        <v>3053</v>
      </c>
      <c r="P878" s="3021" t="str">
        <f>CONCATENATE(SUM(MK687:MO687)," units x $",'DCA Underwriting Assumptions'!$Q$29," =")</f>
        <v>50 units x $250 =</v>
      </c>
      <c r="Q878" s="3021">
        <f>SUM(MK687:MO687)*'DCA Underwriting Assumptions'!$Q$29</f>
        <v>12500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16000</v>
      </c>
      <c r="G879" s="3008"/>
      <c r="K879" s="3010" t="s">
        <v>184</v>
      </c>
      <c r="L879" s="2989">
        <f>SUM(L873:L878)</f>
        <v>17500</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7000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1200</v>
      </c>
      <c r="G881" s="3008"/>
      <c r="I881" s="2550" t="s">
        <v>1299</v>
      </c>
      <c r="O881" s="2950" t="s">
        <v>2468</v>
      </c>
      <c r="P881" s="3022">
        <f>SUM(MF687:MJ687)+SUM(MK687:MO687)+SUM(MP687:MT687)+P763</f>
        <v>50</v>
      </c>
      <c r="Q881" s="3022">
        <f>SUM(Q877:Q880)</f>
        <v>12500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6853</v>
      </c>
      <c r="L882" s="3008">
        <f>'Part V-Revenues &amp; Expenses'!L244</f>
        <v>18878</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1000</v>
      </c>
      <c r="G883" s="3008"/>
      <c r="I883" s="2550" t="s">
        <v>140</v>
      </c>
      <c r="L883" s="3008">
        <f>'Part V-Revenues &amp; Expenses'!L245</f>
        <v>27883</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36700</v>
      </c>
      <c r="G885" s="2986"/>
      <c r="K885" s="3010" t="s">
        <v>184</v>
      </c>
      <c r="L885" s="2989">
        <f>SUM(L881:L884)</f>
        <v>46761</v>
      </c>
      <c r="M885" s="2989"/>
      <c r="O885" s="2550" t="s">
        <v>2031</v>
      </c>
      <c r="Q885" s="2989">
        <f>Q866+Q872</f>
        <v>237011</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Please see Tab 2 of the Application for the Insurance and Real Estate Tax estimate documentation.</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Cypress Reserve, ,  County</v>
      </c>
      <c r="B897" s="2904"/>
      <c r="C897" s="2904"/>
      <c r="D897" s="2904"/>
      <c r="E897" s="2904"/>
      <c r="F897" s="2904"/>
      <c r="G897" s="2904"/>
      <c r="H897" s="2904"/>
      <c r="I897" s="2904"/>
      <c r="J897" s="2904"/>
      <c r="K897" s="2904"/>
      <c r="L897" s="2550"/>
      <c r="M897" s="2550"/>
      <c r="N897" s="2550" t="str">
        <f>A897</f>
        <v>PART SIX - OPERATING PRO FORMA  -  2022-0 Cypress Reserve,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6854</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24000</v>
      </c>
      <c r="N904" s="2846"/>
      <c r="O904" s="2846"/>
      <c r="Z904" s="2751"/>
      <c r="AA904" s="2671">
        <v>9</v>
      </c>
    </row>
    <row r="905" spans="1:27" s="652" customFormat="1">
      <c r="A905" s="652" t="s">
        <v>1337</v>
      </c>
      <c r="B905" s="3025">
        <v>0.02</v>
      </c>
      <c r="D905" s="2550" t="s">
        <v>1598</v>
      </c>
      <c r="G905" s="3031">
        <f>'Part VI-Pro Forma'!G10</f>
        <v>0</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350220</v>
      </c>
      <c r="C910" s="3035">
        <f>'Part VI-Pro Forma'!C15</f>
        <v>357224.4</v>
      </c>
      <c r="D910" s="3035">
        <f>'Part VI-Pro Forma'!D15</f>
        <v>364368.88799999998</v>
      </c>
      <c r="E910" s="3035">
        <f>'Part VI-Pro Forma'!E15</f>
        <v>371656.26575999998</v>
      </c>
      <c r="F910" s="3035">
        <f>'Part VI-Pro Forma'!F15</f>
        <v>379089.39107519999</v>
      </c>
      <c r="G910" s="3035">
        <f>'Part VI-Pro Forma'!G15</f>
        <v>386671.17889670399</v>
      </c>
      <c r="H910" s="3035">
        <f>'Part VI-Pro Forma'!H15</f>
        <v>394404.60247463809</v>
      </c>
      <c r="I910" s="3035">
        <f>'Part VI-Pro Forma'!I15</f>
        <v>402292.69452413078</v>
      </c>
      <c r="J910" s="3035">
        <f>'Part VI-Pro Forma'!J15</f>
        <v>410338.54841461341</v>
      </c>
      <c r="K910" s="3035">
        <f>'Part VI-Pro Forma'!K15</f>
        <v>418545.31938290573</v>
      </c>
      <c r="N910" s="2846"/>
      <c r="O910" s="2846"/>
      <c r="S910" s="2918" t="s">
        <v>3411</v>
      </c>
      <c r="Z910" s="2751" t="s">
        <v>6467</v>
      </c>
      <c r="AA910" s="2671">
        <v>15</v>
      </c>
    </row>
    <row r="911" spans="1:27" s="652" customFormat="1" ht="13.35" customHeight="1">
      <c r="A911" s="652" t="s">
        <v>953</v>
      </c>
      <c r="B911" s="3035">
        <f>'Part VI-Pro Forma'!B16</f>
        <v>7004.4000000000005</v>
      </c>
      <c r="C911" s="3035">
        <f>'Part VI-Pro Forma'!C16</f>
        <v>7144.4880000000003</v>
      </c>
      <c r="D911" s="3035">
        <f>'Part VI-Pro Forma'!D16</f>
        <v>7287.3777600000003</v>
      </c>
      <c r="E911" s="3035">
        <f>'Part VI-Pro Forma'!E16</f>
        <v>7433.1253151999999</v>
      </c>
      <c r="F911" s="3035">
        <f>'Part VI-Pro Forma'!F16</f>
        <v>7581.787821504</v>
      </c>
      <c r="G911" s="3035">
        <f>'Part VI-Pro Forma'!G16</f>
        <v>7733.4235779340806</v>
      </c>
      <c r="H911" s="3035">
        <f>'Part VI-Pro Forma'!H16</f>
        <v>7888.0920494927623</v>
      </c>
      <c r="I911" s="3035">
        <f>'Part VI-Pro Forma'!I16</f>
        <v>8045.8538904826164</v>
      </c>
      <c r="J911" s="3035">
        <f>'Part VI-Pro Forma'!J16</f>
        <v>8206.7709682922687</v>
      </c>
      <c r="K911" s="3035">
        <f>'Part VI-Pro Forma'!K16</f>
        <v>8370.9063876581149</v>
      </c>
      <c r="N911" s="2846"/>
      <c r="O911" s="2846"/>
      <c r="S911" s="2918"/>
      <c r="Z911" s="2751" t="s">
        <v>6467</v>
      </c>
      <c r="AA911" s="2671">
        <v>16</v>
      </c>
    </row>
    <row r="912" spans="1:27" s="652" customFormat="1" ht="13.35" customHeight="1">
      <c r="A912" s="652" t="s">
        <v>2217</v>
      </c>
      <c r="B912" s="3035">
        <f>'Part VI-Pro Forma'!B17</f>
        <v>-25005.708000000002</v>
      </c>
      <c r="C912" s="3035">
        <f>'Part VI-Pro Forma'!C17</f>
        <v>-25505.822160000003</v>
      </c>
      <c r="D912" s="3035">
        <f>'Part VI-Pro Forma'!D17</f>
        <v>-26015.9386032</v>
      </c>
      <c r="E912" s="3035">
        <f>'Part VI-Pro Forma'!E17</f>
        <v>-26536.257375264002</v>
      </c>
      <c r="F912" s="3035">
        <f>'Part VI-Pro Forma'!F17</f>
        <v>-27066.982522769282</v>
      </c>
      <c r="G912" s="3035">
        <f>'Part VI-Pro Forma'!G17</f>
        <v>-27608.322173224667</v>
      </c>
      <c r="H912" s="3035">
        <f>'Part VI-Pro Forma'!H17</f>
        <v>-28160.488616689163</v>
      </c>
      <c r="I912" s="3035">
        <f>'Part VI-Pro Forma'!I17</f>
        <v>-28723.698389022942</v>
      </c>
      <c r="J912" s="3035">
        <f>'Part VI-Pro Forma'!J17</f>
        <v>-29298.172356803399</v>
      </c>
      <c r="K912" s="3035">
        <f>'Part VI-Pro Forma'!K17</f>
        <v>-29884.135803939469</v>
      </c>
      <c r="N912" s="2846"/>
      <c r="O912" s="2846"/>
      <c r="Q912" s="2918" t="s">
        <v>3301</v>
      </c>
      <c r="R912" s="2918" t="s">
        <v>3410</v>
      </c>
      <c r="S912" s="2918"/>
      <c r="Z912" s="2751" t="s">
        <v>6467</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35" customHeight="1">
      <c r="A915" s="652" t="s">
        <v>3842</v>
      </c>
      <c r="B915" s="3035">
        <f>SUM(B910:B914)</f>
        <v>332218.69200000004</v>
      </c>
      <c r="C915" s="3035">
        <f t="shared" ref="C915:K915" si="382">SUM(C910:C914)</f>
        <v>338863.06584000005</v>
      </c>
      <c r="D915" s="3035">
        <f t="shared" si="382"/>
        <v>345640.32715679996</v>
      </c>
      <c r="E915" s="3035">
        <f t="shared" si="382"/>
        <v>352553.13369993598</v>
      </c>
      <c r="F915" s="3035">
        <f t="shared" si="382"/>
        <v>359604.19637393468</v>
      </c>
      <c r="G915" s="3035">
        <f t="shared" si="382"/>
        <v>366796.28030141344</v>
      </c>
      <c r="H915" s="3035">
        <f t="shared" si="382"/>
        <v>374132.20590744168</v>
      </c>
      <c r="I915" s="3035">
        <f t="shared" si="382"/>
        <v>381614.85002559045</v>
      </c>
      <c r="J915" s="3035">
        <f t="shared" si="382"/>
        <v>389247.14702610229</v>
      </c>
      <c r="K915" s="3035">
        <f t="shared" si="382"/>
        <v>397032.08996662433</v>
      </c>
      <c r="N915" s="2846"/>
      <c r="O915" s="2846"/>
      <c r="Z915" s="2751" t="s">
        <v>6467</v>
      </c>
      <c r="AA915" s="2671">
        <v>20</v>
      </c>
    </row>
    <row r="916" spans="1:27" s="652" customFormat="1" ht="13.35" customHeight="1">
      <c r="A916" s="652" t="s">
        <v>572</v>
      </c>
      <c r="B916" s="3035">
        <f>'Part VI-Pro Forma'!B21</f>
        <v>-200511</v>
      </c>
      <c r="C916" s="3035">
        <f>'Part VI-Pro Forma'!C21</f>
        <v>-206526.33000000002</v>
      </c>
      <c r="D916" s="3035">
        <f>'Part VI-Pro Forma'!D21</f>
        <v>-212722.11989999999</v>
      </c>
      <c r="E916" s="3035">
        <f>'Part VI-Pro Forma'!E21</f>
        <v>-219103.783497</v>
      </c>
      <c r="F916" s="3035">
        <f>'Part VI-Pro Forma'!F21</f>
        <v>-225676.89700190999</v>
      </c>
      <c r="G916" s="3035">
        <f>'Part VI-Pro Forma'!G21</f>
        <v>-232447.20391196726</v>
      </c>
      <c r="H916" s="3035">
        <f>'Part VI-Pro Forma'!H21</f>
        <v>-239420.6200293263</v>
      </c>
      <c r="I916" s="3035">
        <f>'Part VI-Pro Forma'!I21</f>
        <v>-246603.23863020609</v>
      </c>
      <c r="J916" s="3035">
        <f>'Part VI-Pro Forma'!J21</f>
        <v>-254001.33578911226</v>
      </c>
      <c r="K916" s="3035">
        <f>'Part VI-Pro Forma'!K21</f>
        <v>-261621.37586278564</v>
      </c>
      <c r="N916" s="2846"/>
      <c r="O916" s="2846"/>
      <c r="Q916" s="2671">
        <v>1</v>
      </c>
      <c r="R916" s="2948">
        <f>-B927</f>
        <v>19407</v>
      </c>
      <c r="S916" s="2948">
        <f>B928+R916</f>
        <v>19406.896162990903</v>
      </c>
      <c r="Z916" s="2751" t="s">
        <v>6467</v>
      </c>
      <c r="AA916" s="2671">
        <v>21</v>
      </c>
    </row>
    <row r="917" spans="1:27" s="652" customFormat="1" ht="13.35" customHeight="1">
      <c r="A917" s="652" t="s">
        <v>1051</v>
      </c>
      <c r="B917" s="3035">
        <f>'Part VI-Pro Forma'!B22</f>
        <v>-24000</v>
      </c>
      <c r="C917" s="3035">
        <f>'Part VI-Pro Forma'!C22</f>
        <v>-24720</v>
      </c>
      <c r="D917" s="3035">
        <f>'Part VI-Pro Forma'!D22</f>
        <v>-25462</v>
      </c>
      <c r="E917" s="3035">
        <f>'Part VI-Pro Forma'!E22</f>
        <v>-26225</v>
      </c>
      <c r="F917" s="3035">
        <f>'Part VI-Pro Forma'!F22</f>
        <v>-27012</v>
      </c>
      <c r="G917" s="3035">
        <f>'Part VI-Pro Forma'!G22</f>
        <v>-27823</v>
      </c>
      <c r="H917" s="3035">
        <f>'Part VI-Pro Forma'!H22</f>
        <v>-28657</v>
      </c>
      <c r="I917" s="3035">
        <f>'Part VI-Pro Forma'!I22</f>
        <v>-29517</v>
      </c>
      <c r="J917" s="3035">
        <f>'Part VI-Pro Forma'!J22</f>
        <v>-30402</v>
      </c>
      <c r="K917" s="3035">
        <f>'Part VI-Pro Forma'!K22</f>
        <v>-31315</v>
      </c>
      <c r="N917" s="2846"/>
      <c r="O917" s="2846"/>
      <c r="Q917" s="2671">
        <v>2</v>
      </c>
      <c r="R917" s="2948">
        <f>-SUM(B927:C927)</f>
        <v>38348</v>
      </c>
      <c r="S917" s="2948">
        <f>SUM(B928:C928)+R917</f>
        <v>38347.836165981804</v>
      </c>
      <c r="Z917" s="2751" t="s">
        <v>6467</v>
      </c>
      <c r="AA917" s="2671">
        <v>22</v>
      </c>
    </row>
    <row r="918" spans="1:27" s="652" customFormat="1" ht="13.35" customHeight="1">
      <c r="A918" s="652" t="s">
        <v>1129</v>
      </c>
      <c r="B918" s="3035">
        <f>'Part VI-Pro Forma'!B23</f>
        <v>-12500</v>
      </c>
      <c r="C918" s="3035">
        <f>'Part VI-Pro Forma'!C23</f>
        <v>-12875</v>
      </c>
      <c r="D918" s="3035">
        <f>'Part VI-Pro Forma'!D23</f>
        <v>-13261.25</v>
      </c>
      <c r="E918" s="3035">
        <f>'Part VI-Pro Forma'!E23</f>
        <v>-13659.0875</v>
      </c>
      <c r="F918" s="3035">
        <f>'Part VI-Pro Forma'!F23</f>
        <v>-14068.860124999999</v>
      </c>
      <c r="G918" s="3035">
        <f>'Part VI-Pro Forma'!G23</f>
        <v>-14490.925928749997</v>
      </c>
      <c r="H918" s="3035">
        <f>'Part VI-Pro Forma'!H23</f>
        <v>-14925.653706612498</v>
      </c>
      <c r="I918" s="3035">
        <f>'Part VI-Pro Forma'!I23</f>
        <v>-15373.423317810875</v>
      </c>
      <c r="J918" s="3035">
        <f>'Part VI-Pro Forma'!J23</f>
        <v>-15834.626017345199</v>
      </c>
      <c r="K918" s="3035">
        <f>'Part VI-Pro Forma'!K23</f>
        <v>-16309.664797865556</v>
      </c>
      <c r="N918" s="2846"/>
      <c r="O918" s="2846"/>
      <c r="Q918" s="2671">
        <v>3</v>
      </c>
      <c r="R918" s="2948">
        <f>-SUM(B927:D927)</f>
        <v>38630</v>
      </c>
      <c r="S918" s="2948">
        <f>SUM(B928:D928)+R918</f>
        <v>56741.997585772639</v>
      </c>
      <c r="Z918" s="2751" t="s">
        <v>6467</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38630</v>
      </c>
      <c r="S919" s="2948">
        <f>SUM(B928:E928)+R919</f>
        <v>74506.464451699489</v>
      </c>
      <c r="Z919" s="2751" t="s">
        <v>6467</v>
      </c>
      <c r="AA919" s="2857">
        <v>24</v>
      </c>
    </row>
    <row r="920" spans="1:27" s="652" customFormat="1" ht="13.35" customHeight="1">
      <c r="A920" s="652" t="s">
        <v>1130</v>
      </c>
      <c r="B920" s="3035">
        <f>SUM(B915:B919)</f>
        <v>95207.692000000039</v>
      </c>
      <c r="C920" s="3035">
        <f t="shared" ref="C920:K920" si="383">SUM(C915:C919)</f>
        <v>94741.735840000038</v>
      </c>
      <c r="D920" s="3035">
        <f t="shared" si="383"/>
        <v>94194.957256799971</v>
      </c>
      <c r="E920" s="3035">
        <f t="shared" si="383"/>
        <v>93565.262702935986</v>
      </c>
      <c r="F920" s="3035">
        <f t="shared" si="383"/>
        <v>92846.439247024682</v>
      </c>
      <c r="G920" s="3035">
        <f t="shared" si="383"/>
        <v>92035.150460696183</v>
      </c>
      <c r="H920" s="3035">
        <f t="shared" si="383"/>
        <v>91128.932171502878</v>
      </c>
      <c r="I920" s="3035">
        <f t="shared" si="383"/>
        <v>90121.18807757349</v>
      </c>
      <c r="J920" s="3035">
        <f t="shared" si="383"/>
        <v>89009.185219644831</v>
      </c>
      <c r="K920" s="3035">
        <f t="shared" si="383"/>
        <v>87786.049305973138</v>
      </c>
      <c r="N920" s="2846"/>
      <c r="O920" s="2846"/>
      <c r="Q920" s="2671">
        <v>5</v>
      </c>
      <c r="R920" s="2948">
        <f>-SUM(B927:F927)</f>
        <v>38630</v>
      </c>
      <c r="S920" s="2948">
        <f>SUM(B928:F928)+R920</f>
        <v>91552.107861715034</v>
      </c>
      <c r="Z920" s="2751" t="s">
        <v>6467</v>
      </c>
      <c r="AA920" s="2671">
        <v>25</v>
      </c>
    </row>
    <row r="921" spans="1:27" s="652" customFormat="1" ht="13.35" customHeight="1">
      <c r="A921" s="652" t="s">
        <v>1487</v>
      </c>
      <c r="B921" s="3036">
        <f>'Part VI-Pro Forma'!B26</f>
        <v>-68300.795837009136</v>
      </c>
      <c r="C921" s="3036">
        <f>'Part VI-Pro Forma'!C26</f>
        <v>-68300.795837009136</v>
      </c>
      <c r="D921" s="3036">
        <f>'Part VI-Pro Forma'!D26</f>
        <v>-68300.795837009136</v>
      </c>
      <c r="E921" s="3036">
        <f>'Part VI-Pro Forma'!E26</f>
        <v>-68300.795837009136</v>
      </c>
      <c r="F921" s="3036">
        <f>'Part VI-Pro Forma'!F26</f>
        <v>-68300.795837009136</v>
      </c>
      <c r="G921" s="3036">
        <f>'Part VI-Pro Forma'!G26</f>
        <v>-68300.795837009136</v>
      </c>
      <c r="H921" s="3036">
        <f>'Part VI-Pro Forma'!H26</f>
        <v>-68300.795837009136</v>
      </c>
      <c r="I921" s="3036">
        <f>'Part VI-Pro Forma'!I26</f>
        <v>-68300.795837009136</v>
      </c>
      <c r="J921" s="3036">
        <f>'Part VI-Pro Forma'!J26</f>
        <v>-68300.795837009136</v>
      </c>
      <c r="K921" s="3036">
        <f>'Part VI-Pro Forma'!K26</f>
        <v>-68300.795837009136</v>
      </c>
      <c r="N921" s="2846"/>
      <c r="O921" s="2846"/>
      <c r="Q921" s="2671">
        <v>6</v>
      </c>
      <c r="R921" s="2948">
        <f>-SUM(B927:G927)</f>
        <v>38630</v>
      </c>
      <c r="S921" s="2948">
        <f>SUM(B928:G928)+R921</f>
        <v>107786.46248540208</v>
      </c>
      <c r="Z921" s="2751" t="s">
        <v>6467</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38630</v>
      </c>
      <c r="S922" s="2948">
        <f>SUM(B928:H928)+R922</f>
        <v>123114.59881989582</v>
      </c>
      <c r="Z922" s="2751" t="s">
        <v>6467</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38630</v>
      </c>
      <c r="S923" s="2948">
        <f>SUM(B928:I928)+R923</f>
        <v>137434.99106046016</v>
      </c>
      <c r="Z923" s="2751" t="s">
        <v>6467</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38630</v>
      </c>
      <c r="S924" s="2948">
        <f>SUM(B928:J928)+R924</f>
        <v>150643.38044309587</v>
      </c>
      <c r="Z924" s="2751" t="s">
        <v>6467</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38630</v>
      </c>
      <c r="S925" s="2948">
        <f>SUM(B928:K928)+R925</f>
        <v>162628.63391205989</v>
      </c>
      <c r="Z925" s="2751" t="s">
        <v>6467</v>
      </c>
      <c r="AA925" s="2671">
        <v>30</v>
      </c>
    </row>
    <row r="926" spans="1:27" s="652" customFormat="1" ht="13.35" customHeight="1">
      <c r="A926" s="652" t="s">
        <v>1096</v>
      </c>
      <c r="B926" s="3036">
        <f>'Part VI-Pro Forma'!B31</f>
        <v>-7500</v>
      </c>
      <c r="C926" s="3036">
        <f>'Part VI-Pro Forma'!C31</f>
        <v>-7500</v>
      </c>
      <c r="D926" s="3036">
        <f>'Part VI-Pro Forma'!D31</f>
        <v>-7500</v>
      </c>
      <c r="E926" s="3036">
        <f>'Part VI-Pro Forma'!E31</f>
        <v>-7500</v>
      </c>
      <c r="F926" s="3036">
        <f>'Part VI-Pro Forma'!F31</f>
        <v>-7500</v>
      </c>
      <c r="G926" s="3036">
        <f>'Part VI-Pro Forma'!G31</f>
        <v>-7500</v>
      </c>
      <c r="H926" s="3036">
        <f>'Part VI-Pro Forma'!H31</f>
        <v>-7500</v>
      </c>
      <c r="I926" s="3036">
        <f>'Part VI-Pro Forma'!I31</f>
        <v>-7500</v>
      </c>
      <c r="J926" s="3036">
        <f>'Part VI-Pro Forma'!J31</f>
        <v>-7500</v>
      </c>
      <c r="K926" s="3036">
        <f>'Part VI-Pro Forma'!K31</f>
        <v>-7500</v>
      </c>
      <c r="N926" s="2846"/>
      <c r="O926" s="2846"/>
      <c r="Q926" s="2671">
        <v>11</v>
      </c>
      <c r="R926" s="2948">
        <f>-SUM(B927:K927)-B959</f>
        <v>38630</v>
      </c>
      <c r="S926" s="2948">
        <f>SUM(B928:K928)+B960+R926</f>
        <v>173277.59796053686</v>
      </c>
      <c r="Z926" s="2751" t="s">
        <v>6467</v>
      </c>
      <c r="AA926" s="2671">
        <v>31</v>
      </c>
    </row>
    <row r="927" spans="1:27" s="652" customFormat="1" ht="13.35" customHeight="1">
      <c r="A927" s="652" t="s">
        <v>3364</v>
      </c>
      <c r="B927" s="3036">
        <f>'Part VI-Pro Forma'!B32</f>
        <v>-19407</v>
      </c>
      <c r="C927" s="3036">
        <f>'Part VI-Pro Forma'!C32</f>
        <v>-18941</v>
      </c>
      <c r="D927" s="3036">
        <f>'Part VI-Pro Forma'!D32</f>
        <v>-282</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38630</v>
      </c>
      <c r="S927" s="2948">
        <f>SUM(B928:K928) + SUM(B960:C960)+R927</f>
        <v>182469.94748791881</v>
      </c>
      <c r="Z927" s="2751" t="s">
        <v>6467</v>
      </c>
      <c r="AA927" s="2671">
        <v>32</v>
      </c>
    </row>
    <row r="928" spans="1:27" s="652" customFormat="1" ht="13.35" customHeight="1">
      <c r="A928" s="652" t="s">
        <v>1097</v>
      </c>
      <c r="B928" s="3035">
        <f t="shared" ref="B928:K928" si="384">SUM(B920:B927)</f>
        <v>-0.10383700909733307</v>
      </c>
      <c r="C928" s="3035">
        <f t="shared" si="384"/>
        <v>-5.9997009098879062E-2</v>
      </c>
      <c r="D928" s="3035">
        <f t="shared" si="384"/>
        <v>18112.161419790835</v>
      </c>
      <c r="E928" s="3035">
        <f t="shared" si="384"/>
        <v>17764.46686592685</v>
      </c>
      <c r="F928" s="3035">
        <f t="shared" si="384"/>
        <v>17045.643410015546</v>
      </c>
      <c r="G928" s="3035">
        <f t="shared" si="384"/>
        <v>16234.354623687046</v>
      </c>
      <c r="H928" s="3035">
        <f t="shared" si="384"/>
        <v>15328.136334493742</v>
      </c>
      <c r="I928" s="3035">
        <f t="shared" si="384"/>
        <v>14320.392240564353</v>
      </c>
      <c r="J928" s="3035">
        <f t="shared" si="384"/>
        <v>13208.389382635694</v>
      </c>
      <c r="K928" s="3035">
        <f t="shared" si="384"/>
        <v>11985.253468964002</v>
      </c>
      <c r="N928" s="2846"/>
      <c r="O928" s="2846"/>
      <c r="Q928" s="2671">
        <v>13</v>
      </c>
      <c r="R928" s="2948">
        <f>-SUM(B927:K927) - SUM(B959:D959)</f>
        <v>38630</v>
      </c>
      <c r="S928" s="2948">
        <f>SUM(B928:K928) + SUM(B960:D960)+R928</f>
        <v>190082.02951221977</v>
      </c>
      <c r="Z928" s="2751" t="s">
        <v>6467</v>
      </c>
      <c r="AA928" s="2857">
        <v>33</v>
      </c>
    </row>
    <row r="929" spans="1:27" s="652" customFormat="1" ht="13.35" customHeight="1">
      <c r="A929" s="652" t="str">
        <f>IF('Part II-Sources of Funds'!$E$40 = "Neither", "", "DCR Mortgage A")</f>
        <v>DCR Mortgage A</v>
      </c>
      <c r="B929" s="3037">
        <f t="shared" ref="B929:K929" si="385">IF(B921=0,"",-B920/B921)</f>
        <v>1.3939470372673353</v>
      </c>
      <c r="C929" s="3037">
        <f t="shared" si="385"/>
        <v>1.3871249182233356</v>
      </c>
      <c r="D929" s="3037">
        <f t="shared" si="385"/>
        <v>1.3791194685576409</v>
      </c>
      <c r="E929" s="3037">
        <f t="shared" si="385"/>
        <v>1.3699000363951421</v>
      </c>
      <c r="F929" s="3037">
        <f t="shared" si="385"/>
        <v>1.3593756574753608</v>
      </c>
      <c r="G929" s="3037">
        <f t="shared" si="385"/>
        <v>1.3474974827573893</v>
      </c>
      <c r="H929" s="3037">
        <f t="shared" si="385"/>
        <v>1.3342294340020588</v>
      </c>
      <c r="I929" s="3037">
        <f t="shared" si="385"/>
        <v>1.3194749339764043</v>
      </c>
      <c r="J929" s="3037">
        <f t="shared" si="385"/>
        <v>1.3031939691018175</v>
      </c>
      <c r="K929" s="3037">
        <f t="shared" si="385"/>
        <v>1.2852858920628538</v>
      </c>
      <c r="N929" s="2846"/>
      <c r="O929" s="2846"/>
      <c r="Q929" s="2671">
        <v>14</v>
      </c>
      <c r="R929" s="2948">
        <f>-SUM(B927:K927) - SUM(B959:E959)</f>
        <v>38630</v>
      </c>
      <c r="S929" s="2948">
        <f>SUM(B928:K928) + SUM(B960:E960)+R929</f>
        <v>195982.70157106704</v>
      </c>
      <c r="Z929" s="2751" t="s">
        <v>6467</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38630</v>
      </c>
      <c r="S930" s="2948">
        <f>SUM(B928:K928) + SUM(B960:F960)+R930</f>
        <v>200037.16463947113</v>
      </c>
      <c r="Z930" s="2751" t="s">
        <v>6467</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38630</v>
      </c>
      <c r="S931" s="2948">
        <f>SUM(B928:K928) + SUM(B960:G960)+R931</f>
        <v>202103.79038717225</v>
      </c>
      <c r="Z931" s="2751" t="s">
        <v>6467</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38630</v>
      </c>
      <c r="S932" s="2948">
        <f>SUM(B928:K928) + SUM(B960:H960)+R932</f>
        <v>202034.94259279221</v>
      </c>
      <c r="Z932" s="2751" t="s">
        <v>6467</v>
      </c>
      <c r="AA932" s="2671">
        <v>37</v>
      </c>
    </row>
    <row r="933" spans="1:27" s="652" customFormat="1" ht="13.35" customHeight="1">
      <c r="A933" s="652" t="s">
        <v>3217</v>
      </c>
      <c r="B933" s="3037">
        <f t="shared" ref="B933:K933" si="389">IF(AND(B921=0,B922=0,B923=0,B924=0),"",-B920/(B921+B922+B923+B924))</f>
        <v>1.3939470372673353</v>
      </c>
      <c r="C933" s="3037">
        <f t="shared" si="389"/>
        <v>1.3871249182233356</v>
      </c>
      <c r="D933" s="3037">
        <f t="shared" si="389"/>
        <v>1.3791194685576409</v>
      </c>
      <c r="E933" s="3037">
        <f t="shared" si="389"/>
        <v>1.3699000363951421</v>
      </c>
      <c r="F933" s="3037">
        <f t="shared" si="389"/>
        <v>1.3593756574753608</v>
      </c>
      <c r="G933" s="3037">
        <f t="shared" si="389"/>
        <v>1.3474974827573893</v>
      </c>
      <c r="H933" s="3037">
        <f t="shared" si="389"/>
        <v>1.3342294340020588</v>
      </c>
      <c r="I933" s="3037">
        <f t="shared" si="389"/>
        <v>1.3194749339764043</v>
      </c>
      <c r="J933" s="3037">
        <f t="shared" si="389"/>
        <v>1.3031939691018175</v>
      </c>
      <c r="K933" s="3037">
        <f t="shared" si="389"/>
        <v>1.2852858920628538</v>
      </c>
      <c r="N933" s="2846"/>
      <c r="O933" s="2846"/>
      <c r="Q933" s="2671">
        <v>18</v>
      </c>
      <c r="R933" s="2948">
        <f>-SUM(B927:K927) - SUM(B959:I959)</f>
        <v>38630</v>
      </c>
      <c r="S933" s="2948">
        <f>SUM(B928:K928) + SUM(B960:I960)+R933</f>
        <v>199677.79252627614</v>
      </c>
      <c r="Z933" s="2751" t="s">
        <v>6467</v>
      </c>
      <c r="AA933" s="2671">
        <v>38</v>
      </c>
    </row>
    <row r="934" spans="1:27" s="652" customFormat="1" ht="13.35" customHeight="1">
      <c r="A934" s="652" t="s">
        <v>718</v>
      </c>
      <c r="B934" s="3038">
        <f>'Part VI-Pro Forma'!B39</f>
        <v>1.4017015750323827</v>
      </c>
      <c r="C934" s="3038">
        <f>'Part VI-Pro Forma'!C39</f>
        <v>1.3880928218767283</v>
      </c>
      <c r="D934" s="3038">
        <f>'Part VI-Pro Forma'!D39</f>
        <v>1.3746140057948228</v>
      </c>
      <c r="E934" s="3038">
        <f>'Part VI-Pro Forma'!E39</f>
        <v>1.3612727590012113</v>
      </c>
      <c r="F934" s="3038">
        <f>'Part VI-Pro Forma'!F39</f>
        <v>1.3480552552511267</v>
      </c>
      <c r="G934" s="3038">
        <f>'Part VI-Pro Forma'!G39</f>
        <v>1.3349642306175193</v>
      </c>
      <c r="H934" s="3038">
        <f>'Part VI-Pro Forma'!H39</f>
        <v>1.322006636066452</v>
      </c>
      <c r="I934" s="3038">
        <f>'Part VI-Pro Forma'!I39</f>
        <v>1.3091703177191039</v>
      </c>
      <c r="J934" s="3038">
        <f>'Part VI-Pro Forma'!J39</f>
        <v>1.2964621285199867</v>
      </c>
      <c r="K934" s="3038">
        <f>'Part VI-Pro Forma'!K39</f>
        <v>1.2838712150313496</v>
      </c>
      <c r="N934" s="2846"/>
      <c r="O934" s="2846"/>
      <c r="Q934" s="2671">
        <v>19</v>
      </c>
      <c r="R934" s="2948">
        <f>-SUM(B927:K927) - SUM(B959:J959)</f>
        <v>38630</v>
      </c>
      <c r="S934" s="2948">
        <f>SUM(B928:K928) + SUM(B960:J960)+R934</f>
        <v>194872.12810519151</v>
      </c>
      <c r="Z934" s="2751" t="s">
        <v>6467</v>
      </c>
      <c r="AA934" s="2671">
        <v>39</v>
      </c>
    </row>
    <row r="935" spans="1:27" s="652" customFormat="1" ht="13.35" customHeight="1">
      <c r="A935" s="652" t="s">
        <v>2406</v>
      </c>
      <c r="B935" s="3036">
        <f>'Part VI-Pro Forma'!B40</f>
        <v>546841.46174226294</v>
      </c>
      <c r="C935" s="3036">
        <f>'Part VI-Pro Forma'!C40</f>
        <v>492267.87763831043</v>
      </c>
      <c r="D935" s="3036">
        <f>'Part VI-Pro Forma'!D40</f>
        <v>436241.58008454542</v>
      </c>
      <c r="E935" s="3036">
        <f>'Part VI-Pro Forma'!E40</f>
        <v>378723.89879016846</v>
      </c>
      <c r="F935" s="3036">
        <f>'Part VI-Pro Forma'!F40</f>
        <v>319675.1340862941</v>
      </c>
      <c r="G935" s="3036">
        <f>'Part VI-Pro Forma'!G40</f>
        <v>259054.52952457315</v>
      </c>
      <c r="H935" s="3036">
        <f>'Part VI-Pro Forma'!H40</f>
        <v>196820.24374640812</v>
      </c>
      <c r="I935" s="3036">
        <f>'Part VI-Pro Forma'!I40</f>
        <v>132929.32160334525</v>
      </c>
      <c r="J935" s="3036">
        <f>'Part VI-Pro Forma'!J40</f>
        <v>67337.664508710237</v>
      </c>
      <c r="K935" s="3036">
        <f>'Part VI-Pro Forma'!K40</f>
        <v>2.3632310330867767E-8</v>
      </c>
      <c r="N935" s="2846"/>
      <c r="O935" s="2846"/>
      <c r="Q935" s="2671">
        <v>20</v>
      </c>
      <c r="R935" s="2948">
        <f>-SUM(B927:K927) - SUM(B959:K959)</f>
        <v>38630</v>
      </c>
      <c r="S935" s="2948">
        <f>SUM(B928:K928) + SUM(B960:K960)+R935</f>
        <v>187451.15662434761</v>
      </c>
      <c r="Z935" s="2751" t="s">
        <v>6467</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6467</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35" customHeight="1">
      <c r="A939" s="652" t="s">
        <v>3365</v>
      </c>
      <c r="B939" s="3036">
        <f>'Part VI-Pro Forma'!B44</f>
        <v>19223</v>
      </c>
      <c r="C939" s="3036">
        <f>'Part VI-Pro Forma'!C44</f>
        <v>282</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6467</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426916.22577056382</v>
      </c>
      <c r="C942" s="3035">
        <f>'Part VI-Pro Forma'!C47</f>
        <v>435454.55028597504</v>
      </c>
      <c r="D942" s="3035">
        <f>'Part VI-Pro Forma'!D47</f>
        <v>444163.6412916946</v>
      </c>
      <c r="E942" s="3035">
        <f>'Part VI-Pro Forma'!E47</f>
        <v>453046.91411752847</v>
      </c>
      <c r="F942" s="3035">
        <f>'Part VI-Pro Forma'!F47</f>
        <v>462107.85239987908</v>
      </c>
      <c r="G942" s="3035">
        <f>'Part VI-Pro Forma'!G47</f>
        <v>471350.00944787654</v>
      </c>
      <c r="H942" s="3035">
        <f>'Part VI-Pro Forma'!H47</f>
        <v>480777.00963683415</v>
      </c>
      <c r="I942" s="3035">
        <f>'Part VI-Pro Forma'!I47</f>
        <v>490392.54982957087</v>
      </c>
      <c r="J942" s="3035">
        <f>'Part VI-Pro Forma'!J47</f>
        <v>500200.40082616225</v>
      </c>
      <c r="K942" s="3035">
        <f>'Part VI-Pro Forma'!K47</f>
        <v>510204.40884268546</v>
      </c>
      <c r="N942" s="2846"/>
      <c r="O942" s="2846"/>
      <c r="Z942" s="2751" t="s">
        <v>6468</v>
      </c>
      <c r="AA942" s="2857">
        <v>47</v>
      </c>
    </row>
    <row r="943" spans="1:27" s="652" customFormat="1" ht="13.35" customHeight="1">
      <c r="A943" s="652" t="s">
        <v>953</v>
      </c>
      <c r="B943" s="3035">
        <f>'Part VI-Pro Forma'!B48</f>
        <v>8538.3245154112774</v>
      </c>
      <c r="C943" s="3035">
        <f>'Part VI-Pro Forma'!C48</f>
        <v>8709.0910057195015</v>
      </c>
      <c r="D943" s="3035">
        <f>'Part VI-Pro Forma'!D48</f>
        <v>8883.2728258338921</v>
      </c>
      <c r="E943" s="3035">
        <f>'Part VI-Pro Forma'!E48</f>
        <v>9060.9382823505694</v>
      </c>
      <c r="F943" s="3035">
        <f>'Part VI-Pro Forma'!F48</f>
        <v>9242.1570479975817</v>
      </c>
      <c r="G943" s="3035">
        <f>'Part VI-Pro Forma'!G48</f>
        <v>9427.0001889575306</v>
      </c>
      <c r="H943" s="3035">
        <f>'Part VI-Pro Forma'!H48</f>
        <v>9615.5401927366838</v>
      </c>
      <c r="I943" s="3035">
        <f>'Part VI-Pro Forma'!I48</f>
        <v>9807.8509965914182</v>
      </c>
      <c r="J943" s="3035">
        <f>'Part VI-Pro Forma'!J48</f>
        <v>10004.008016523245</v>
      </c>
      <c r="K943" s="3035">
        <f>'Part VI-Pro Forma'!K48</f>
        <v>10204.088176853709</v>
      </c>
      <c r="N943" s="2846"/>
      <c r="O943" s="2846"/>
      <c r="Z943" s="2751" t="s">
        <v>6468</v>
      </c>
      <c r="AA943" s="2671">
        <v>48</v>
      </c>
    </row>
    <row r="944" spans="1:27" s="652" customFormat="1" ht="13.35" customHeight="1">
      <c r="A944" s="652" t="s">
        <v>2217</v>
      </c>
      <c r="B944" s="3035">
        <f>'Part VI-Pro Forma'!B49</f>
        <v>-30481.81852001826</v>
      </c>
      <c r="C944" s="3035">
        <f>'Part VI-Pro Forma'!C49</f>
        <v>-31091.454890418619</v>
      </c>
      <c r="D944" s="3035">
        <f>'Part VI-Pro Forma'!D49</f>
        <v>-31713.283988226995</v>
      </c>
      <c r="E944" s="3035">
        <f>'Part VI-Pro Forma'!E49</f>
        <v>-32347.549667991534</v>
      </c>
      <c r="F944" s="3035">
        <f>'Part VI-Pro Forma'!F49</f>
        <v>-32994.500661351369</v>
      </c>
      <c r="G944" s="3035">
        <f>'Part VI-Pro Forma'!G49</f>
        <v>-33654.39067457839</v>
      </c>
      <c r="H944" s="3035">
        <f>'Part VI-Pro Forma'!H49</f>
        <v>-34327.478488069959</v>
      </c>
      <c r="I944" s="3035">
        <f>'Part VI-Pro Forma'!I49</f>
        <v>-35014.028057831361</v>
      </c>
      <c r="J944" s="3035">
        <f>'Part VI-Pro Forma'!J49</f>
        <v>-35714.30861898799</v>
      </c>
      <c r="K944" s="3035">
        <f>'Part VI-Pro Forma'!K49</f>
        <v>-36428.594791367745</v>
      </c>
      <c r="N944" s="2846"/>
      <c r="O944" s="2846"/>
      <c r="Z944" s="2751" t="s">
        <v>6468</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35" customHeight="1">
      <c r="A947" s="652" t="s">
        <v>3842</v>
      </c>
      <c r="B947" s="3035">
        <f>SUM(B942:B946)</f>
        <v>404972.73176595685</v>
      </c>
      <c r="C947" s="3035">
        <f t="shared" ref="C947" si="391">SUM(C942:C946)</f>
        <v>413072.18640127592</v>
      </c>
      <c r="D947" s="3035">
        <f t="shared" ref="D947" si="392">SUM(D942:D946)</f>
        <v>421333.63012930145</v>
      </c>
      <c r="E947" s="3035">
        <f t="shared" ref="E947" si="393">SUM(E942:E946)</f>
        <v>429760.3027318875</v>
      </c>
      <c r="F947" s="3035">
        <f t="shared" ref="F947" si="394">SUM(F942:F946)</f>
        <v>438355.50878652529</v>
      </c>
      <c r="G947" s="3035">
        <f t="shared" ref="G947" si="395">SUM(G942:G946)</f>
        <v>447122.61896225571</v>
      </c>
      <c r="H947" s="3035">
        <f t="shared" ref="H947" si="396">SUM(H942:H946)</f>
        <v>456065.07134150085</v>
      </c>
      <c r="I947" s="3035">
        <f t="shared" ref="I947" si="397">SUM(I942:I946)</f>
        <v>465186.37276833097</v>
      </c>
      <c r="J947" s="3035">
        <f t="shared" ref="J947" si="398">SUM(J942:J946)</f>
        <v>474490.10022369755</v>
      </c>
      <c r="K947" s="3035">
        <f t="shared" ref="K947" si="399">SUM(K942:K946)</f>
        <v>483979.90222817141</v>
      </c>
      <c r="N947" s="2846"/>
      <c r="O947" s="2846"/>
      <c r="Z947" s="2751" t="s">
        <v>6468</v>
      </c>
      <c r="AA947" s="2671">
        <v>52</v>
      </c>
    </row>
    <row r="948" spans="1:27" s="652" customFormat="1" ht="13.35" customHeight="1">
      <c r="A948" s="652" t="s">
        <v>572</v>
      </c>
      <c r="B948" s="3035">
        <f>'Part VI-Pro Forma'!B53</f>
        <v>-269470.01713866921</v>
      </c>
      <c r="C948" s="3035">
        <f>'Part VI-Pro Forma'!C53</f>
        <v>-277554.11765282927</v>
      </c>
      <c r="D948" s="3035">
        <f>'Part VI-Pro Forma'!D53</f>
        <v>-285880.74118241412</v>
      </c>
      <c r="E948" s="3035">
        <f>'Part VI-Pro Forma'!E53</f>
        <v>-294457.16341788654</v>
      </c>
      <c r="F948" s="3035">
        <f>'Part VI-Pro Forma'!F53</f>
        <v>-303290.87832042319</v>
      </c>
      <c r="G948" s="3035">
        <f>'Part VI-Pro Forma'!G53</f>
        <v>-312389.60467003589</v>
      </c>
      <c r="H948" s="3035">
        <f>'Part VI-Pro Forma'!H53</f>
        <v>-321761.29281013692</v>
      </c>
      <c r="I948" s="3035">
        <f>'Part VI-Pro Forma'!I53</f>
        <v>-331414.13159444102</v>
      </c>
      <c r="J948" s="3035">
        <f>'Part VI-Pro Forma'!J53</f>
        <v>-341356.55554227426</v>
      </c>
      <c r="K948" s="3035">
        <f>'Part VI-Pro Forma'!K53</f>
        <v>-351597.25220854243</v>
      </c>
      <c r="N948" s="2846"/>
      <c r="O948" s="2846"/>
      <c r="Z948" s="2751" t="s">
        <v>6468</v>
      </c>
      <c r="AA948" s="2671">
        <v>53</v>
      </c>
    </row>
    <row r="949" spans="1:27" s="652" customFormat="1" ht="13.35" customHeight="1">
      <c r="A949" s="652" t="s">
        <v>1051</v>
      </c>
      <c r="B949" s="3035">
        <f>'Part VI-Pro Forma'!B54</f>
        <v>-32254</v>
      </c>
      <c r="C949" s="3035">
        <f>'Part VI-Pro Forma'!C54</f>
        <v>-33222</v>
      </c>
      <c r="D949" s="3035">
        <f>'Part VI-Pro Forma'!D54</f>
        <v>-34218</v>
      </c>
      <c r="E949" s="3035">
        <f>'Part VI-Pro Forma'!E54</f>
        <v>-35245</v>
      </c>
      <c r="F949" s="3035">
        <f>'Part VI-Pro Forma'!F54</f>
        <v>-36302</v>
      </c>
      <c r="G949" s="3035">
        <f>'Part VI-Pro Forma'!G54</f>
        <v>-37391</v>
      </c>
      <c r="H949" s="3035">
        <f>'Part VI-Pro Forma'!H54</f>
        <v>-38513</v>
      </c>
      <c r="I949" s="3035">
        <f>'Part VI-Pro Forma'!I54</f>
        <v>-39668</v>
      </c>
      <c r="J949" s="3035">
        <f>'Part VI-Pro Forma'!J54</f>
        <v>-40858</v>
      </c>
      <c r="K949" s="3035">
        <f>'Part VI-Pro Forma'!K54</f>
        <v>-42084</v>
      </c>
      <c r="N949" s="2846"/>
      <c r="O949" s="2846"/>
      <c r="Z949" s="2751" t="s">
        <v>6468</v>
      </c>
      <c r="AA949" s="2671">
        <v>54</v>
      </c>
    </row>
    <row r="950" spans="1:27" s="652" customFormat="1" ht="13.35" customHeight="1">
      <c r="A950" s="652" t="s">
        <v>1129</v>
      </c>
      <c r="B950" s="3035">
        <f>'Part VI-Pro Forma'!B55</f>
        <v>-16798.954741801521</v>
      </c>
      <c r="C950" s="3035">
        <f>'Part VI-Pro Forma'!C55</f>
        <v>-17302.923384055568</v>
      </c>
      <c r="D950" s="3035">
        <f>'Part VI-Pro Forma'!D55</f>
        <v>-17822.011085577233</v>
      </c>
      <c r="E950" s="3035">
        <f>'Part VI-Pro Forma'!E55</f>
        <v>-18356.67141814455</v>
      </c>
      <c r="F950" s="3035">
        <f>'Part VI-Pro Forma'!F55</f>
        <v>-18907.371560688887</v>
      </c>
      <c r="G950" s="3035">
        <f>'Part VI-Pro Forma'!G55</f>
        <v>-19474.592707509557</v>
      </c>
      <c r="H950" s="3035">
        <f>'Part VI-Pro Forma'!H55</f>
        <v>-20058.830488734839</v>
      </c>
      <c r="I950" s="3035">
        <f>'Part VI-Pro Forma'!I55</f>
        <v>-20660.595403396885</v>
      </c>
      <c r="J950" s="3035">
        <f>'Part VI-Pro Forma'!J55</f>
        <v>-21280.413265498792</v>
      </c>
      <c r="K950" s="3035">
        <f>'Part VI-Pro Forma'!K55</f>
        <v>-21918.825663463755</v>
      </c>
      <c r="N950" s="2846"/>
      <c r="O950" s="2846"/>
      <c r="Q950" s="2671">
        <v>10</v>
      </c>
      <c r="R950" s="2948">
        <f>-SUM(B956:K956)</f>
        <v>0</v>
      </c>
      <c r="S950" s="2948">
        <f>SUM(B957:K957)+R950</f>
        <v>0</v>
      </c>
      <c r="Z950" s="2751" t="s">
        <v>6468</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6468</v>
      </c>
      <c r="AA951" s="2671">
        <v>56</v>
      </c>
    </row>
    <row r="952" spans="1:27" s="652" customFormat="1" ht="13.35" customHeight="1">
      <c r="A952" s="652" t="s">
        <v>1130</v>
      </c>
      <c r="B952" s="3035">
        <f>SUM(B947:B951)</f>
        <v>86449.759885486128</v>
      </c>
      <c r="C952" s="3035">
        <f t="shared" ref="C952" si="400">SUM(C947:C951)</f>
        <v>84993.145364391079</v>
      </c>
      <c r="D952" s="3035">
        <f t="shared" ref="D952" si="401">SUM(D947:D951)</f>
        <v>83412.877861310102</v>
      </c>
      <c r="E952" s="3035">
        <f t="shared" ref="E952" si="402">SUM(E947:E951)</f>
        <v>81701.467895856418</v>
      </c>
      <c r="F952" s="3035">
        <f t="shared" ref="F952" si="403">SUM(F947:F951)</f>
        <v>79855.258905413211</v>
      </c>
      <c r="G952" s="3035">
        <f t="shared" ref="G952" si="404">SUM(G947:G951)</f>
        <v>77867.421584710275</v>
      </c>
      <c r="H952" s="3035">
        <f t="shared" ref="H952" si="405">SUM(H947:H951)</f>
        <v>75731.948042629097</v>
      </c>
      <c r="I952" s="3035">
        <f t="shared" ref="I952" si="406">SUM(I947:I951)</f>
        <v>73443.645770493065</v>
      </c>
      <c r="J952" s="3035">
        <f t="shared" ref="J952" si="407">SUM(J947:J951)</f>
        <v>70995.131415924494</v>
      </c>
      <c r="K952" s="3035">
        <f t="shared" ref="K952" si="408">SUM(K947:K951)</f>
        <v>68379.824356165234</v>
      </c>
      <c r="N952" s="2846"/>
      <c r="O952" s="2846"/>
      <c r="Z952" s="2751" t="s">
        <v>6468</v>
      </c>
      <c r="AA952" s="2671">
        <v>57</v>
      </c>
    </row>
    <row r="953" spans="1:27" s="652" customFormat="1" ht="13.35" customHeight="1">
      <c r="A953" s="652" t="str">
        <f>$A921</f>
        <v>Mortgage A</v>
      </c>
      <c r="B953" s="3036">
        <f>'Part VI-Pro Forma'!B58</f>
        <v>-68300.795837009136</v>
      </c>
      <c r="C953" s="3036">
        <f>'Part VI-Pro Forma'!C58</f>
        <v>-68300.795837009136</v>
      </c>
      <c r="D953" s="3036">
        <f>'Part VI-Pro Forma'!D58</f>
        <v>-68300.795837009136</v>
      </c>
      <c r="E953" s="3036">
        <f>'Part VI-Pro Forma'!E58</f>
        <v>-68300.795837009136</v>
      </c>
      <c r="F953" s="3036">
        <f>'Part VI-Pro Forma'!F58</f>
        <v>-68300.795837009136</v>
      </c>
      <c r="G953" s="3036">
        <f>'Part VI-Pro Forma'!G58</f>
        <v>-68300.795837009136</v>
      </c>
      <c r="H953" s="3036">
        <f>'Part VI-Pro Forma'!H58</f>
        <v>-68300.795837009136</v>
      </c>
      <c r="I953" s="3036">
        <f>'Part VI-Pro Forma'!I58</f>
        <v>-68300.795837009136</v>
      </c>
      <c r="J953" s="3036">
        <f>'Part VI-Pro Forma'!J58</f>
        <v>-68300.795837009136</v>
      </c>
      <c r="K953" s="3036">
        <f>'Part VI-Pro Forma'!K58</f>
        <v>-68300.795837009136</v>
      </c>
      <c r="N953" s="2846"/>
      <c r="O953" s="2846"/>
      <c r="Z953" s="2751" t="s">
        <v>6468</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35" customHeight="1">
      <c r="A958" s="652" t="s">
        <v>1096</v>
      </c>
      <c r="B958" s="3036">
        <f>'Part VI-Pro Forma'!B63</f>
        <v>-7500</v>
      </c>
      <c r="C958" s="3036">
        <f>'Part VI-Pro Forma'!C63</f>
        <v>-7500</v>
      </c>
      <c r="D958" s="3036">
        <f>'Part VI-Pro Forma'!D63</f>
        <v>-7500</v>
      </c>
      <c r="E958" s="3036">
        <f>'Part VI-Pro Forma'!E63</f>
        <v>-7500</v>
      </c>
      <c r="F958" s="3036">
        <f>'Part VI-Pro Forma'!F63</f>
        <v>-7500</v>
      </c>
      <c r="G958" s="3036">
        <f>'Part VI-Pro Forma'!G63</f>
        <v>-7500</v>
      </c>
      <c r="H958" s="3036">
        <f>'Part VI-Pro Forma'!H63</f>
        <v>-7500</v>
      </c>
      <c r="I958" s="3036">
        <f>'Part VI-Pro Forma'!I63</f>
        <v>-7500</v>
      </c>
      <c r="J958" s="3036">
        <f>'Part VI-Pro Forma'!J63</f>
        <v>-7500</v>
      </c>
      <c r="K958" s="3036">
        <f>'Part VI-Pro Forma'!K63</f>
        <v>-7500</v>
      </c>
      <c r="N958" s="2846"/>
      <c r="O958" s="2846"/>
      <c r="Z958" s="2751" t="s">
        <v>6468</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35" customHeight="1">
      <c r="A960" s="652" t="s">
        <v>1097</v>
      </c>
      <c r="B960" s="3035">
        <f t="shared" ref="B960:K960" si="409">SUM(B952:B959)</f>
        <v>10648.964048476992</v>
      </c>
      <c r="C960" s="3035">
        <f t="shared" si="409"/>
        <v>9192.3495273819426</v>
      </c>
      <c r="D960" s="3035">
        <f t="shared" si="409"/>
        <v>7612.0820243009657</v>
      </c>
      <c r="E960" s="3035">
        <f t="shared" si="409"/>
        <v>5900.6720588472817</v>
      </c>
      <c r="F960" s="3035">
        <f t="shared" si="409"/>
        <v>4054.4630684040749</v>
      </c>
      <c r="G960" s="3035">
        <f t="shared" si="409"/>
        <v>2066.6257477011386</v>
      </c>
      <c r="H960" s="3035">
        <f t="shared" si="409"/>
        <v>-68.847794380038977</v>
      </c>
      <c r="I960" s="3035">
        <f t="shared" si="409"/>
        <v>-2357.1500665160711</v>
      </c>
      <c r="J960" s="3035">
        <f t="shared" si="409"/>
        <v>-4805.6644210846425</v>
      </c>
      <c r="K960" s="3035">
        <f t="shared" si="409"/>
        <v>-7420.9714808439021</v>
      </c>
      <c r="N960" s="2846"/>
      <c r="O960" s="2846"/>
      <c r="Z960" s="2751" t="s">
        <v>6468</v>
      </c>
      <c r="AA960" s="2671">
        <v>65</v>
      </c>
    </row>
    <row r="961" spans="1:27" s="652" customFormat="1" ht="13.35" customHeight="1">
      <c r="A961" s="652" t="str">
        <f>$A929</f>
        <v>DCR Mortgage A</v>
      </c>
      <c r="B961" s="3037">
        <f t="shared" ref="B961:K961" si="410">IF(B953=0,"",-B952/B953)</f>
        <v>1.2657211211972861</v>
      </c>
      <c r="C961" s="3037">
        <f t="shared" si="410"/>
        <v>1.2443946563553379</v>
      </c>
      <c r="D961" s="3037">
        <f t="shared" si="410"/>
        <v>1.2212577736336185</v>
      </c>
      <c r="E961" s="3037">
        <f t="shared" si="410"/>
        <v>1.1962008186672703</v>
      </c>
      <c r="F961" s="3037">
        <f t="shared" si="410"/>
        <v>1.1691702552921532</v>
      </c>
      <c r="G961" s="3037">
        <f t="shared" si="410"/>
        <v>1.1400660948450825</v>
      </c>
      <c r="H961" s="3037">
        <f t="shared" si="410"/>
        <v>1.1088003750842585</v>
      </c>
      <c r="I961" s="3037">
        <f t="shared" si="410"/>
        <v>1.0752970718782935</v>
      </c>
      <c r="J961" s="3037">
        <f t="shared" si="410"/>
        <v>1.0394480846950163</v>
      </c>
      <c r="K961" s="3037">
        <f t="shared" si="410"/>
        <v>1.0011570658612043</v>
      </c>
      <c r="N961" s="2846"/>
      <c r="O961" s="2846"/>
      <c r="Z961" s="2751" t="s">
        <v>6468</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35" customHeight="1">
      <c r="A965" s="652" t="s">
        <v>3217</v>
      </c>
      <c r="B965" s="3037">
        <f t="shared" ref="B965:K965" si="414">IF(AND(B953=0,B954=0,B955=0,B956=0),"",-B952/(B953+B954+B955+B956))</f>
        <v>1.2657211211972861</v>
      </c>
      <c r="C965" s="3037">
        <f t="shared" si="414"/>
        <v>1.2443946563553379</v>
      </c>
      <c r="D965" s="3037">
        <f t="shared" si="414"/>
        <v>1.2212577736336185</v>
      </c>
      <c r="E965" s="3037">
        <f t="shared" si="414"/>
        <v>1.1962008186672703</v>
      </c>
      <c r="F965" s="3037">
        <f t="shared" si="414"/>
        <v>1.1691702552921532</v>
      </c>
      <c r="G965" s="3037">
        <f t="shared" si="414"/>
        <v>1.1400660948450825</v>
      </c>
      <c r="H965" s="3037">
        <f t="shared" si="414"/>
        <v>1.1088003750842585</v>
      </c>
      <c r="I965" s="3037">
        <f t="shared" si="414"/>
        <v>1.0752970718782935</v>
      </c>
      <c r="J965" s="3037">
        <f t="shared" si="414"/>
        <v>1.0394480846950163</v>
      </c>
      <c r="K965" s="3037">
        <f t="shared" si="414"/>
        <v>1.0011570658612043</v>
      </c>
      <c r="N965" s="2846"/>
      <c r="O965" s="2846"/>
      <c r="Z965" s="2751" t="s">
        <v>6468</v>
      </c>
      <c r="AA965" s="2671">
        <v>70</v>
      </c>
    </row>
    <row r="966" spans="1:27" s="652" customFormat="1" ht="13.35" customHeight="1">
      <c r="A966" s="652" t="s">
        <v>718</v>
      </c>
      <c r="B966" s="3038">
        <f>'Part VI-Pro Forma'!B71</f>
        <v>1.2714082421594612</v>
      </c>
      <c r="C966" s="3038">
        <f>'Part VI-Pro Forma'!C71</f>
        <v>1.2590630144972765</v>
      </c>
      <c r="D966" s="3038">
        <f>'Part VI-Pro Forma'!D71</f>
        <v>1.2468415369623664</v>
      </c>
      <c r="E966" s="3038">
        <f>'Part VI-Pro Forma'!E71</f>
        <v>1.2347346474751764</v>
      </c>
      <c r="F966" s="3038">
        <f>'Part VI-Pro Forma'!F71</f>
        <v>1.2227481262060356</v>
      </c>
      <c r="G966" s="3038">
        <f>'Part VI-Pro Forma'!G71</f>
        <v>1.210876981929369</v>
      </c>
      <c r="H966" s="3038">
        <f>'Part VI-Pro Forma'!H71</f>
        <v>1.1991200434654694</v>
      </c>
      <c r="I966" s="3038">
        <f>'Part VI-Pro Forma'!I71</f>
        <v>1.1874792834913268</v>
      </c>
      <c r="J966" s="3038">
        <f>'Part VI-Pro Forma'!J71</f>
        <v>1.1759504749853447</v>
      </c>
      <c r="K966" s="3038">
        <f>'Part VI-Pro Forma'!K71</f>
        <v>1.1645327515487724</v>
      </c>
      <c r="N966" s="2846"/>
      <c r="O966" s="2846"/>
      <c r="Z966" s="2751" t="s">
        <v>6468</v>
      </c>
      <c r="AA966" s="2671">
        <v>71</v>
      </c>
    </row>
    <row r="967" spans="1:27" s="652" customFormat="1" ht="13.35" customHeight="1">
      <c r="A967" s="652" t="s">
        <v>2406</v>
      </c>
      <c r="B967" s="3036">
        <f>'Part VI-Pro Forma'!B72</f>
        <v>-69130.149508812508</v>
      </c>
      <c r="C967" s="3036">
        <f>'Part VI-Pro Forma'!C72</f>
        <v>-140100.49880712456</v>
      </c>
      <c r="D967" s="3036">
        <f>'Part VI-Pro Forma'!D72</f>
        <v>-212960.0328210156</v>
      </c>
      <c r="E967" s="3036">
        <f>'Part VI-Pro Forma'!E72</f>
        <v>-287759.04042358359</v>
      </c>
      <c r="F967" s="3036">
        <f>'Part VI-Pro Forma'!F72</f>
        <v>-364549.14914514532</v>
      </c>
      <c r="G967" s="3036">
        <f>'Part VI-Pro Forma'!G72</f>
        <v>-443383.36080742453</v>
      </c>
      <c r="H967" s="3036">
        <f>'Part VI-Pro Forma'!H72</f>
        <v>-524316.08810629847</v>
      </c>
      <c r="I967" s="3036">
        <f>'Part VI-Pro Forma'!I72</f>
        <v>-607403.19216835394</v>
      </c>
      <c r="J967" s="3036">
        <f>'Part VI-Pro Forma'!J72</f>
        <v>-692702.02110717411</v>
      </c>
      <c r="K967" s="3036">
        <f>'Part VI-Pro Forma'!K72</f>
        <v>-780271.44960596901</v>
      </c>
      <c r="N967" s="2846"/>
      <c r="O967" s="2846"/>
      <c r="Z967" s="2751" t="s">
        <v>6468</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6468</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35" customHeight="1">
      <c r="A971" s="652" t="s">
        <v>3365</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520408.49701953924</v>
      </c>
      <c r="C974" s="3035">
        <f>'Part VI-Pro Forma'!C79</f>
        <v>530816.66695992998</v>
      </c>
      <c r="D974" s="3035">
        <f>'Part VI-Pro Forma'!D79</f>
        <v>541433.00029912859</v>
      </c>
      <c r="E974" s="3035">
        <f>'Part VI-Pro Forma'!E79</f>
        <v>552261.66030511109</v>
      </c>
      <c r="F974" s="3035">
        <f>'Part VI-Pro Forma'!F79</f>
        <v>563306.89351121336</v>
      </c>
      <c r="G974" s="3035">
        <f>'Part VI-Pro Forma'!G79</f>
        <v>574573.03138143755</v>
      </c>
      <c r="H974" s="3035">
        <f>'Part VI-Pro Forma'!H79</f>
        <v>586064.49200906639</v>
      </c>
      <c r="I974" s="3035">
        <f>'Part VI-Pro Forma'!I79</f>
        <v>597785.78184924764</v>
      </c>
      <c r="J974" s="3035">
        <f>'Part VI-Pro Forma'!J79</f>
        <v>609741.49748623266</v>
      </c>
      <c r="K974" s="3035">
        <f>'Part VI-Pro Forma'!K79</f>
        <v>621936.32743595727</v>
      </c>
      <c r="N974" s="2846"/>
      <c r="O974" s="2846"/>
      <c r="Z974" s="2751" t="s">
        <v>6469</v>
      </c>
      <c r="AA974" s="2671">
        <v>79</v>
      </c>
    </row>
    <row r="975" spans="1:27" s="652" customFormat="1" ht="13.35" customHeight="1">
      <c r="A975" s="652" t="s">
        <v>953</v>
      </c>
      <c r="B975" s="3035">
        <f>'Part VI-Pro Forma'!B80</f>
        <v>10408.169940390786</v>
      </c>
      <c r="C975" s="3035">
        <f>'Part VI-Pro Forma'!C80</f>
        <v>10616.3333391986</v>
      </c>
      <c r="D975" s="3035">
        <f>'Part VI-Pro Forma'!D80</f>
        <v>10828.660005982572</v>
      </c>
      <c r="E975" s="3035">
        <f>'Part VI-Pro Forma'!E80</f>
        <v>11045.233206102223</v>
      </c>
      <c r="F975" s="3035">
        <f>'Part VI-Pro Forma'!F80</f>
        <v>11266.137870224267</v>
      </c>
      <c r="G975" s="3035">
        <f>'Part VI-Pro Forma'!G80</f>
        <v>11491.460627628752</v>
      </c>
      <c r="H975" s="3035">
        <f>'Part VI-Pro Forma'!H80</f>
        <v>11721.289840181329</v>
      </c>
      <c r="I975" s="3035">
        <f>'Part VI-Pro Forma'!I80</f>
        <v>11955.715636984953</v>
      </c>
      <c r="J975" s="3035">
        <f>'Part VI-Pro Forma'!J80</f>
        <v>12194.829949724655</v>
      </c>
      <c r="K975" s="3035">
        <f>'Part VI-Pro Forma'!K80</f>
        <v>12438.726548719145</v>
      </c>
      <c r="N975" s="2846"/>
      <c r="O975" s="2846"/>
      <c r="Z975" s="2751" t="s">
        <v>6469</v>
      </c>
      <c r="AA975" s="2671">
        <v>80</v>
      </c>
    </row>
    <row r="976" spans="1:27" s="652" customFormat="1" ht="13.35" customHeight="1">
      <c r="A976" s="652" t="s">
        <v>2217</v>
      </c>
      <c r="B976" s="3035">
        <f>'Part VI-Pro Forma'!B81</f>
        <v>-37157.166687195102</v>
      </c>
      <c r="C976" s="3035">
        <f>'Part VI-Pro Forma'!C81</f>
        <v>-37900.310020939003</v>
      </c>
      <c r="D976" s="3035">
        <f>'Part VI-Pro Forma'!D81</f>
        <v>-38658.316221357789</v>
      </c>
      <c r="E976" s="3035">
        <f>'Part VI-Pro Forma'!E81</f>
        <v>-39431.482545784937</v>
      </c>
      <c r="F976" s="3035">
        <f>'Part VI-Pro Forma'!F81</f>
        <v>-40220.11219670064</v>
      </c>
      <c r="G976" s="3035">
        <f>'Part VI-Pro Forma'!G81</f>
        <v>-41024.514440634644</v>
      </c>
      <c r="H976" s="3035">
        <f>'Part VI-Pro Forma'!H81</f>
        <v>-41845.004729447348</v>
      </c>
      <c r="I976" s="3035">
        <f>'Part VI-Pro Forma'!I81</f>
        <v>-42681.904824036283</v>
      </c>
      <c r="J976" s="3035">
        <f>'Part VI-Pro Forma'!J81</f>
        <v>-43535.542920517015</v>
      </c>
      <c r="K976" s="3035">
        <f>'Part VI-Pro Forma'!K81</f>
        <v>-44406.253778927348</v>
      </c>
      <c r="N976" s="2846"/>
      <c r="O976" s="2846"/>
      <c r="Z976" s="2751" t="s">
        <v>6469</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35" customHeight="1">
      <c r="A979" s="652" t="s">
        <v>3842</v>
      </c>
      <c r="B979" s="3035">
        <f>SUM(B974:B978)</f>
        <v>493659.50027273491</v>
      </c>
      <c r="C979" s="3035">
        <f t="shared" ref="C979" si="416">SUM(C974:C978)</f>
        <v>503532.69027818961</v>
      </c>
      <c r="D979" s="3035">
        <f t="shared" ref="D979" si="417">SUM(D974:D978)</f>
        <v>513603.34408375341</v>
      </c>
      <c r="E979" s="3035">
        <f t="shared" ref="E979" si="418">SUM(E974:E978)</f>
        <v>523875.41096542845</v>
      </c>
      <c r="F979" s="3035">
        <f t="shared" ref="F979" si="419">SUM(F974:F978)</f>
        <v>534352.91918473702</v>
      </c>
      <c r="G979" s="3035">
        <f t="shared" ref="G979" si="420">SUM(G974:G978)</f>
        <v>545039.97756843164</v>
      </c>
      <c r="H979" s="3035">
        <f t="shared" ref="H979" si="421">SUM(H974:H978)</f>
        <v>555940.77711980045</v>
      </c>
      <c r="I979" s="3035">
        <f t="shared" ref="I979" si="422">SUM(I974:I978)</f>
        <v>567059.59266219626</v>
      </c>
      <c r="J979" s="3035">
        <f t="shared" ref="J979" si="423">SUM(J974:J978)</f>
        <v>578400.78451544023</v>
      </c>
      <c r="K979" s="3035">
        <f t="shared" ref="K979" si="424">SUM(K974:K978)</f>
        <v>589968.80020574899</v>
      </c>
      <c r="N979" s="2846"/>
      <c r="O979" s="2846"/>
      <c r="Z979" s="2751" t="s">
        <v>6469</v>
      </c>
      <c r="AA979" s="2671">
        <v>84</v>
      </c>
    </row>
    <row r="980" spans="1:27" s="652" customFormat="1" ht="13.35" customHeight="1">
      <c r="A980" s="652" t="s">
        <v>572</v>
      </c>
      <c r="B980" s="3035">
        <f>'Part VI-Pro Forma'!B85</f>
        <v>-362145.16977479873</v>
      </c>
      <c r="C980" s="3035">
        <f>'Part VI-Pro Forma'!C85</f>
        <v>-373009.52486804262</v>
      </c>
      <c r="D980" s="3035">
        <f>'Part VI-Pro Forma'!D85</f>
        <v>-384199.81061408395</v>
      </c>
      <c r="E980" s="3035">
        <f>'Part VI-Pro Forma'!E85</f>
        <v>-395725.80493250652</v>
      </c>
      <c r="F980" s="3035">
        <f>'Part VI-Pro Forma'!F85</f>
        <v>-407597.57908048161</v>
      </c>
      <c r="G980" s="3035">
        <f>'Part VI-Pro Forma'!G85</f>
        <v>-419825.50645289605</v>
      </c>
      <c r="H980" s="3035">
        <f>'Part VI-Pro Forma'!H85</f>
        <v>-432420.27164648299</v>
      </c>
      <c r="I980" s="3035">
        <f>'Part VI-Pro Forma'!I85</f>
        <v>-445392.87979587744</v>
      </c>
      <c r="J980" s="3035">
        <f>'Part VI-Pro Forma'!J85</f>
        <v>-458754.6661897538</v>
      </c>
      <c r="K980" s="3035">
        <f>'Part VI-Pro Forma'!K85</f>
        <v>-472517.30617544637</v>
      </c>
      <c r="N980" s="2846"/>
      <c r="O980" s="2846"/>
      <c r="Z980" s="2751" t="s">
        <v>6469</v>
      </c>
      <c r="AA980" s="2671">
        <v>85</v>
      </c>
    </row>
    <row r="981" spans="1:27" s="652" customFormat="1" ht="13.35" customHeight="1">
      <c r="A981" s="652" t="s">
        <v>1051</v>
      </c>
      <c r="B981" s="3035">
        <f>'Part VI-Pro Forma'!B86</f>
        <v>-43347</v>
      </c>
      <c r="C981" s="3035">
        <f>'Part VI-Pro Forma'!C86</f>
        <v>-44647</v>
      </c>
      <c r="D981" s="3035">
        <f>'Part VI-Pro Forma'!D86</f>
        <v>-45986</v>
      </c>
      <c r="E981" s="3035">
        <f>'Part VI-Pro Forma'!E86</f>
        <v>-47366</v>
      </c>
      <c r="F981" s="3035">
        <f>'Part VI-Pro Forma'!F86</f>
        <v>-48787</v>
      </c>
      <c r="G981" s="3035">
        <f>'Part VI-Pro Forma'!G86</f>
        <v>-50251</v>
      </c>
      <c r="H981" s="3035">
        <f>'Part VI-Pro Forma'!H86</f>
        <v>-51758</v>
      </c>
      <c r="I981" s="3035">
        <f>'Part VI-Pro Forma'!I86</f>
        <v>-53311</v>
      </c>
      <c r="J981" s="3035">
        <f>'Part VI-Pro Forma'!J86</f>
        <v>-54910</v>
      </c>
      <c r="K981" s="3035">
        <f>'Part VI-Pro Forma'!K86</f>
        <v>-56558</v>
      </c>
      <c r="N981" s="2846"/>
      <c r="O981" s="2846"/>
      <c r="Z981" s="2751" t="s">
        <v>6469</v>
      </c>
      <c r="AA981" s="2671">
        <v>86</v>
      </c>
    </row>
    <row r="982" spans="1:27" s="652" customFormat="1" ht="13.35" customHeight="1">
      <c r="A982" s="652" t="s">
        <v>1129</v>
      </c>
      <c r="B982" s="3035">
        <f>'Part VI-Pro Forma'!B87</f>
        <v>-22576.390433367666</v>
      </c>
      <c r="C982" s="3035">
        <f>'Part VI-Pro Forma'!C87</f>
        <v>-23253.682146368694</v>
      </c>
      <c r="D982" s="3035">
        <f>'Part VI-Pro Forma'!D87</f>
        <v>-23951.292610759756</v>
      </c>
      <c r="E982" s="3035">
        <f>'Part VI-Pro Forma'!E87</f>
        <v>-24669.831389082548</v>
      </c>
      <c r="F982" s="3035">
        <f>'Part VI-Pro Forma'!F87</f>
        <v>-25409.926330755021</v>
      </c>
      <c r="G982" s="3035">
        <f>'Part VI-Pro Forma'!G87</f>
        <v>-26172.224120677674</v>
      </c>
      <c r="H982" s="3035">
        <f>'Part VI-Pro Forma'!H87</f>
        <v>-26957.390844298006</v>
      </c>
      <c r="I982" s="3035">
        <f>'Part VI-Pro Forma'!I87</f>
        <v>-27766.112569626945</v>
      </c>
      <c r="J982" s="3035">
        <f>'Part VI-Pro Forma'!J87</f>
        <v>-28599.095946715752</v>
      </c>
      <c r="K982" s="3035">
        <f>'Part VI-Pro Forma'!K87</f>
        <v>-29457.068825117221</v>
      </c>
      <c r="N982" s="2846"/>
      <c r="O982" s="2846"/>
      <c r="Q982" s="2671">
        <v>10</v>
      </c>
      <c r="R982" s="2948">
        <f>-SUM(B988:K988)</f>
        <v>0</v>
      </c>
      <c r="S982" s="2948">
        <f>SUM(B989:K989)+R982</f>
        <v>0</v>
      </c>
      <c r="Z982" s="2751" t="s">
        <v>6469</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6469</v>
      </c>
      <c r="AA983" s="2671">
        <v>88</v>
      </c>
    </row>
    <row r="984" spans="1:27" s="652" customFormat="1" ht="13.35" customHeight="1">
      <c r="A984" s="652" t="s">
        <v>1130</v>
      </c>
      <c r="B984" s="3035">
        <f>SUM(B979:B983)</f>
        <v>65590.940064568509</v>
      </c>
      <c r="C984" s="3035">
        <f t="shared" ref="C984" si="425">SUM(C979:C983)</f>
        <v>62622.483263778297</v>
      </c>
      <c r="D984" s="3035">
        <f t="shared" ref="D984" si="426">SUM(D979:D983)</f>
        <v>59466.240858909703</v>
      </c>
      <c r="E984" s="3035">
        <f t="shared" ref="E984" si="427">SUM(E979:E983)</f>
        <v>56113.774643839381</v>
      </c>
      <c r="F984" s="3035">
        <f t="shared" ref="F984" si="428">SUM(F979:F983)</f>
        <v>52558.413773500397</v>
      </c>
      <c r="G984" s="3035">
        <f t="shared" ref="G984" si="429">SUM(G979:G983)</f>
        <v>48791.246994857916</v>
      </c>
      <c r="H984" s="3035">
        <f t="shared" ref="H984" si="430">SUM(H979:H983)</f>
        <v>44805.114629019459</v>
      </c>
      <c r="I984" s="3035">
        <f t="shared" ref="I984" si="431">SUM(I979:I983)</f>
        <v>40589.600296691875</v>
      </c>
      <c r="J984" s="3035">
        <f t="shared" ref="J984" si="432">SUM(J979:J983)</f>
        <v>36137.02237897068</v>
      </c>
      <c r="K984" s="3035">
        <f t="shared" ref="K984" si="433">SUM(K979:K983)</f>
        <v>31436.425205185402</v>
      </c>
      <c r="N984" s="2846"/>
      <c r="O984" s="2846"/>
      <c r="Z984" s="2751" t="s">
        <v>6469</v>
      </c>
      <c r="AA984" s="2671">
        <v>89</v>
      </c>
    </row>
    <row r="985" spans="1:27" s="652" customFormat="1" ht="13.35" customHeight="1">
      <c r="A985" s="652" t="str">
        <f>$A953</f>
        <v>Mortgage A</v>
      </c>
      <c r="B985" s="3036">
        <f>'Part VI-Pro Forma'!B90</f>
        <v>-68300.795837009136</v>
      </c>
      <c r="C985" s="3036">
        <f>'Part VI-Pro Forma'!C90</f>
        <v>-68300.795837009136</v>
      </c>
      <c r="D985" s="3036">
        <f>'Part VI-Pro Forma'!D90</f>
        <v>-68300.795837009136</v>
      </c>
      <c r="E985" s="3036">
        <f>'Part VI-Pro Forma'!E90</f>
        <v>-68300.795837009136</v>
      </c>
      <c r="F985" s="3036">
        <f>'Part VI-Pro Forma'!F90</f>
        <v>-68300.795837009136</v>
      </c>
      <c r="G985" s="3036">
        <f>'Part VI-Pro Forma'!G90</f>
        <v>-68300.795837009136</v>
      </c>
      <c r="H985" s="3036">
        <f>'Part VI-Pro Forma'!H90</f>
        <v>-68300.795837009136</v>
      </c>
      <c r="I985" s="3036">
        <f>'Part VI-Pro Forma'!I90</f>
        <v>-68300.795837009136</v>
      </c>
      <c r="J985" s="3036">
        <f>'Part VI-Pro Forma'!J90</f>
        <v>-68300.795837009136</v>
      </c>
      <c r="K985" s="3036">
        <f>'Part VI-Pro Forma'!K90</f>
        <v>-68300.795837009136</v>
      </c>
      <c r="N985" s="2846"/>
      <c r="O985" s="2846"/>
      <c r="Z985" s="2751" t="s">
        <v>6469</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35" customHeight="1">
      <c r="A990" s="652" t="s">
        <v>1096</v>
      </c>
      <c r="B990" s="3036">
        <f>'Part VI-Pro Forma'!B95</f>
        <v>-7500</v>
      </c>
      <c r="C990" s="3036">
        <f>'Part VI-Pro Forma'!C95</f>
        <v>-7500</v>
      </c>
      <c r="D990" s="3036">
        <f>'Part VI-Pro Forma'!D95</f>
        <v>-7500</v>
      </c>
      <c r="E990" s="3036">
        <f>'Part VI-Pro Forma'!E95</f>
        <v>-7500</v>
      </c>
      <c r="F990" s="3036">
        <f>'Part VI-Pro Forma'!F95</f>
        <v>-7500</v>
      </c>
      <c r="G990" s="3036">
        <f>'Part VI-Pro Forma'!G95</f>
        <v>-7500</v>
      </c>
      <c r="H990" s="3036">
        <f>'Part VI-Pro Forma'!H95</f>
        <v>-7500</v>
      </c>
      <c r="I990" s="3036">
        <f>'Part VI-Pro Forma'!I95</f>
        <v>-7500</v>
      </c>
      <c r="J990" s="3036">
        <f>'Part VI-Pro Forma'!J95</f>
        <v>-7500</v>
      </c>
      <c r="K990" s="3036">
        <f>'Part VI-Pro Forma'!K95</f>
        <v>-7500</v>
      </c>
      <c r="N990" s="2846"/>
      <c r="O990" s="2846"/>
      <c r="Z990" s="2751" t="s">
        <v>6469</v>
      </c>
      <c r="AA990" s="2671">
        <v>95</v>
      </c>
    </row>
    <row r="991" spans="1:27" s="652" customFormat="1" ht="13.35" customHeight="1">
      <c r="A991" s="652" t="s">
        <v>1097</v>
      </c>
      <c r="B991" s="3035">
        <f t="shared" ref="B991:K991" si="434">SUM(B984:B990)</f>
        <v>-10209.855772440627</v>
      </c>
      <c r="C991" s="3035">
        <f t="shared" si="434"/>
        <v>-13178.31257323084</v>
      </c>
      <c r="D991" s="3035">
        <f t="shared" si="434"/>
        <v>-16334.554978099433</v>
      </c>
      <c r="E991" s="3035">
        <f t="shared" si="434"/>
        <v>-19687.021193169756</v>
      </c>
      <c r="F991" s="3035">
        <f t="shared" si="434"/>
        <v>-23242.38206350874</v>
      </c>
      <c r="G991" s="3035">
        <f t="shared" si="434"/>
        <v>-27009.54884215122</v>
      </c>
      <c r="H991" s="3035">
        <f t="shared" si="434"/>
        <v>-30995.681207989677</v>
      </c>
      <c r="I991" s="3035">
        <f t="shared" si="434"/>
        <v>-35211.195540317261</v>
      </c>
      <c r="J991" s="3035">
        <f t="shared" si="434"/>
        <v>-39663.773458038457</v>
      </c>
      <c r="K991" s="3035">
        <f t="shared" si="434"/>
        <v>-44364.370631823738</v>
      </c>
      <c r="N991" s="2846"/>
      <c r="O991" s="2846"/>
      <c r="Z991" s="2751" t="s">
        <v>6469</v>
      </c>
      <c r="AA991" s="2857">
        <v>96</v>
      </c>
    </row>
    <row r="992" spans="1:27" s="652" customFormat="1" ht="13.35" customHeight="1">
      <c r="A992" s="652" t="str">
        <f>$A961</f>
        <v>DCR Mortgage A</v>
      </c>
      <c r="B992" s="3037">
        <f t="shared" ref="B992:K992" si="435">IF(B985=0,"",-B984/B985)</f>
        <v>0.9603246823227749</v>
      </c>
      <c r="C992" s="3037">
        <f t="shared" si="435"/>
        <v>0.91686315651751138</v>
      </c>
      <c r="D992" s="3037">
        <f t="shared" si="435"/>
        <v>0.87065223955542281</v>
      </c>
      <c r="E992" s="3037">
        <f t="shared" si="435"/>
        <v>0.82156838666635046</v>
      </c>
      <c r="F992" s="3037">
        <f t="shared" si="435"/>
        <v>0.76951392922161754</v>
      </c>
      <c r="G992" s="3037">
        <f t="shared" si="435"/>
        <v>0.71435839651549315</v>
      </c>
      <c r="H992" s="3037">
        <f t="shared" si="435"/>
        <v>0.65599696284565956</v>
      </c>
      <c r="I992" s="3037">
        <f t="shared" si="435"/>
        <v>0.59427712077548289</v>
      </c>
      <c r="J992" s="3037">
        <f t="shared" si="435"/>
        <v>0.52908640281742736</v>
      </c>
      <c r="K992" s="3037">
        <f t="shared" si="435"/>
        <v>0.46026440570625698</v>
      </c>
      <c r="N992" s="2846"/>
      <c r="O992" s="2846"/>
      <c r="Z992" s="2751" t="s">
        <v>6469</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35" customHeight="1">
      <c r="A996" s="652" t="s">
        <v>3217</v>
      </c>
      <c r="B996" s="3037">
        <f t="shared" ref="B996:K996" si="439">IF(AND(B985=0,B986=0,B987=0,B988=0),"",-B984/(B985+B986+B987+B988))</f>
        <v>0.9603246823227749</v>
      </c>
      <c r="C996" s="3037">
        <f t="shared" si="439"/>
        <v>0.91686315651751138</v>
      </c>
      <c r="D996" s="3037">
        <f t="shared" si="439"/>
        <v>0.87065223955542281</v>
      </c>
      <c r="E996" s="3037">
        <f t="shared" si="439"/>
        <v>0.82156838666635046</v>
      </c>
      <c r="F996" s="3037">
        <f t="shared" si="439"/>
        <v>0.76951392922161754</v>
      </c>
      <c r="G996" s="3037">
        <f t="shared" si="439"/>
        <v>0.71435839651549315</v>
      </c>
      <c r="H996" s="3037">
        <f t="shared" si="439"/>
        <v>0.65599696284565956</v>
      </c>
      <c r="I996" s="3037">
        <f t="shared" si="439"/>
        <v>0.59427712077548289</v>
      </c>
      <c r="J996" s="3037">
        <f t="shared" si="439"/>
        <v>0.52908640281742736</v>
      </c>
      <c r="K996" s="3037">
        <f t="shared" si="439"/>
        <v>0.46026440570625698</v>
      </c>
      <c r="N996" s="2846"/>
      <c r="O996" s="2846"/>
      <c r="Z996" s="2751" t="s">
        <v>6469</v>
      </c>
      <c r="AA996" s="2671">
        <v>101</v>
      </c>
    </row>
    <row r="997" spans="1:27" s="652" customFormat="1" ht="13.35" customHeight="1">
      <c r="A997" s="652" t="s">
        <v>718</v>
      </c>
      <c r="B997" s="3038">
        <f>IF(OR(B981="Choose mgt fee",B981="Choose One!"),"",(B974+B975+B976+B977+B978) / -(B980+B981+B982))</f>
        <v>1.1532253151987433</v>
      </c>
      <c r="C997" s="3038">
        <f t="shared" ref="C997:K997" si="440">IF(OR(C981="Choose mgt fee",C981="Choose One!"),"",(C974+C975+C976+C977+C978) / -(C980+C981+C982))</f>
        <v>1.1420300148817635</v>
      </c>
      <c r="D997" s="3038">
        <f t="shared" si="440"/>
        <v>1.1309433658616261</v>
      </c>
      <c r="E997" s="3038">
        <f t="shared" si="440"/>
        <v>1.1199623275758785</v>
      </c>
      <c r="F997" s="3038">
        <f t="shared" si="440"/>
        <v>1.1090888608798872</v>
      </c>
      <c r="G997" s="3038">
        <f t="shared" si="440"/>
        <v>1.0983201446953104</v>
      </c>
      <c r="H997" s="3038">
        <f t="shared" si="440"/>
        <v>1.08765797011831</v>
      </c>
      <c r="I997" s="3038">
        <f t="shared" si="440"/>
        <v>1.0770976520700013</v>
      </c>
      <c r="J997" s="3038">
        <f t="shared" si="440"/>
        <v>1.0666410424266488</v>
      </c>
      <c r="K997" s="3038">
        <f t="shared" si="440"/>
        <v>1.0562839803246029</v>
      </c>
      <c r="N997" s="2846"/>
      <c r="O997" s="2846"/>
      <c r="Z997" s="2751" t="s">
        <v>6469</v>
      </c>
      <c r="AA997" s="2671">
        <v>102</v>
      </c>
    </row>
    <row r="998" spans="1:27" s="652" customFormat="1" ht="13.35" customHeight="1">
      <c r="A998" s="652" t="s">
        <v>2406</v>
      </c>
      <c r="B998" s="3036">
        <f>'Part VI-Pro Forma'!B103</f>
        <v>-870171.91955387022</v>
      </c>
      <c r="C998" s="3036">
        <f>'Part VI-Pro Forma'!C103</f>
        <v>-962465.48176393646</v>
      </c>
      <c r="D998" s="3036">
        <f>'Part VI-Pro Forma'!D103</f>
        <v>-1057215.8388016666</v>
      </c>
      <c r="E998" s="3036">
        <f>'Part VI-Pro Forma'!E103</f>
        <v>-1154488.3889535794</v>
      </c>
      <c r="F998" s="3036">
        <f>'Part VI-Pro Forma'!F103</f>
        <v>-1254350.2713662079</v>
      </c>
      <c r="G998" s="3036">
        <f>'Part VI-Pro Forma'!G103</f>
        <v>-1356870.4123866656</v>
      </c>
      <c r="H998" s="3036">
        <f>'Part VI-Pro Forma'!H103</f>
        <v>-1462119.5731367676</v>
      </c>
      <c r="I998" s="3036">
        <f>'Part VI-Pro Forma'!I103</f>
        <v>-1570170.398353545</v>
      </c>
      <c r="J998" s="3036">
        <f>'Part VI-Pro Forma'!J103</f>
        <v>-1681097.4665298606</v>
      </c>
      <c r="K998" s="3036">
        <f>'Part VI-Pro Forma'!K103</f>
        <v>-1794977.3413897366</v>
      </c>
      <c r="N998" s="2846"/>
      <c r="O998" s="2846"/>
      <c r="Z998" s="2751" t="s">
        <v>6469</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6469</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2216</v>
      </c>
      <c r="B1004" s="3035">
        <f>'Part VI-Pro Forma'!B109</f>
        <v>634375.05398467649</v>
      </c>
      <c r="C1004" s="3035">
        <f>'Part VI-Pro Forma'!C109</f>
        <v>647062.55506436981</v>
      </c>
      <c r="D1004" s="3035">
        <f>'Part VI-Pro Forma'!D109</f>
        <v>660003.80616565736</v>
      </c>
      <c r="E1004" s="3035">
        <f>'Part VI-Pro Forma'!E109</f>
        <v>673203.88228897052</v>
      </c>
      <c r="F1004" s="3035">
        <f>'Part VI-Pro Forma'!F109</f>
        <v>686667.95993474987</v>
      </c>
      <c r="G1004" s="3035"/>
      <c r="H1004" s="3035"/>
      <c r="I1004" s="3035"/>
      <c r="J1004" s="3035"/>
      <c r="K1004" s="3035"/>
      <c r="N1004" s="2846"/>
      <c r="O1004" s="2846"/>
      <c r="Z1004" s="2751" t="s">
        <v>6470</v>
      </c>
      <c r="AA1004" s="2671">
        <v>109</v>
      </c>
    </row>
    <row r="1005" spans="1:27" s="652" customFormat="1" ht="13.35" customHeight="1">
      <c r="A1005" s="652" t="s">
        <v>953</v>
      </c>
      <c r="B1005" s="3035">
        <f>'Part VI-Pro Forma'!B110</f>
        <v>12687.501079693529</v>
      </c>
      <c r="C1005" s="3035">
        <f>'Part VI-Pro Forma'!C110</f>
        <v>12941.251101287398</v>
      </c>
      <c r="D1005" s="3035">
        <f>'Part VI-Pro Forma'!D110</f>
        <v>13200.076123313149</v>
      </c>
      <c r="E1005" s="3035">
        <f>'Part VI-Pro Forma'!E110</f>
        <v>13464.077645779413</v>
      </c>
      <c r="F1005" s="3035">
        <f>'Part VI-Pro Forma'!F110</f>
        <v>13733.359198695</v>
      </c>
      <c r="G1005" s="3035"/>
      <c r="H1005" s="3035"/>
      <c r="I1005" s="3035"/>
      <c r="J1005" s="3035"/>
      <c r="K1005" s="3035"/>
      <c r="N1005" s="2846"/>
      <c r="O1005" s="2846"/>
      <c r="Z1005" s="2751" t="s">
        <v>6470</v>
      </c>
      <c r="AA1005" s="2671">
        <v>110</v>
      </c>
    </row>
    <row r="1006" spans="1:27" s="652" customFormat="1" ht="13.35" customHeight="1">
      <c r="A1006" s="652" t="s">
        <v>2217</v>
      </c>
      <c r="B1006" s="3035">
        <f>'Part VI-Pro Forma'!B111</f>
        <v>-45294.378854505907</v>
      </c>
      <c r="C1006" s="3035">
        <f>'Part VI-Pro Forma'!C111</f>
        <v>-46200.266431596014</v>
      </c>
      <c r="D1006" s="3035">
        <f>'Part VI-Pro Forma'!D111</f>
        <v>-47124.271760227937</v>
      </c>
      <c r="E1006" s="3035">
        <f>'Part VI-Pro Forma'!E111</f>
        <v>-48066.757195432496</v>
      </c>
      <c r="F1006" s="3035">
        <f>'Part VI-Pro Forma'!F111</f>
        <v>-49028.09233934115</v>
      </c>
      <c r="G1006" s="3035"/>
      <c r="H1006" s="3035"/>
      <c r="I1006" s="3035"/>
      <c r="J1006" s="3035"/>
      <c r="K1006" s="3035"/>
      <c r="N1006" s="2846"/>
      <c r="O1006" s="2846"/>
      <c r="Z1006" s="2751" t="s">
        <v>6470</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35" customHeight="1">
      <c r="A1009" s="652" t="s">
        <v>3842</v>
      </c>
      <c r="B1009" s="3035">
        <f>SUM(B1004:B1008)</f>
        <v>601768.17620986409</v>
      </c>
      <c r="C1009" s="3035">
        <f t="shared" ref="C1009" si="441">SUM(C1004:C1008)</f>
        <v>613803.53973406123</v>
      </c>
      <c r="D1009" s="3035">
        <f t="shared" ref="D1009" si="442">SUM(D1004:D1008)</f>
        <v>626079.61052874255</v>
      </c>
      <c r="E1009" s="3035">
        <f t="shared" ref="E1009" si="443">SUM(E1004:E1008)</f>
        <v>638601.20273931744</v>
      </c>
      <c r="F1009" s="3035">
        <f t="shared" ref="F1009" si="444">SUM(F1004:F1008)</f>
        <v>651373.22679410374</v>
      </c>
      <c r="G1009" s="3035"/>
      <c r="H1009" s="3035"/>
      <c r="I1009" s="3035"/>
      <c r="J1009" s="3035"/>
      <c r="K1009" s="3035"/>
      <c r="N1009" s="2846"/>
      <c r="O1009" s="2846"/>
      <c r="Z1009" s="2751" t="s">
        <v>6470</v>
      </c>
      <c r="AA1009" s="2671">
        <v>114</v>
      </c>
    </row>
    <row r="1010" spans="1:27" s="652" customFormat="1" ht="13.35" customHeight="1">
      <c r="A1010" s="652" t="s">
        <v>572</v>
      </c>
      <c r="B1010" s="3035">
        <f>'Part VI-Pro Forma'!B115</f>
        <v>-486692.82536070974</v>
      </c>
      <c r="C1010" s="3035">
        <f>'Part VI-Pro Forma'!C115</f>
        <v>-501293.61012153112</v>
      </c>
      <c r="D1010" s="3035">
        <f>'Part VI-Pro Forma'!D115</f>
        <v>-516332.41842517693</v>
      </c>
      <c r="E1010" s="3035">
        <f>'Part VI-Pro Forma'!E115</f>
        <v>-531822.39097793226</v>
      </c>
      <c r="F1010" s="3035">
        <f>'Part VI-Pro Forma'!F115</f>
        <v>-547777.06270727015</v>
      </c>
      <c r="G1010" s="3035"/>
      <c r="H1010" s="3035"/>
      <c r="I1010" s="3035"/>
      <c r="J1010" s="3035"/>
      <c r="K1010" s="3035"/>
      <c r="N1010" s="2846"/>
      <c r="O1010" s="2846"/>
      <c r="Z1010" s="2751" t="s">
        <v>6470</v>
      </c>
      <c r="AA1010" s="2671">
        <v>115</v>
      </c>
    </row>
    <row r="1011" spans="1:27" s="652" customFormat="1" ht="13.35" customHeight="1">
      <c r="A1011" s="652" t="s">
        <v>1051</v>
      </c>
      <c r="B1011" s="3035">
        <f>'Part VI-Pro Forma'!B116</f>
        <v>-58254</v>
      </c>
      <c r="C1011" s="3035">
        <f>'Part VI-Pro Forma'!C116</f>
        <v>-60002</v>
      </c>
      <c r="D1011" s="3035">
        <f>'Part VI-Pro Forma'!D116</f>
        <v>-61802</v>
      </c>
      <c r="E1011" s="3035">
        <f>'Part VI-Pro Forma'!E116</f>
        <v>-63656</v>
      </c>
      <c r="F1011" s="3035">
        <f>'Part VI-Pro Forma'!F116</f>
        <v>-65566</v>
      </c>
      <c r="G1011" s="3035"/>
      <c r="H1011" s="3035"/>
      <c r="I1011" s="3035"/>
      <c r="J1011" s="3035"/>
      <c r="K1011" s="3035"/>
      <c r="N1011" s="2846"/>
      <c r="O1011" s="2846"/>
      <c r="Z1011" s="2751" t="s">
        <v>6470</v>
      </c>
      <c r="AA1011" s="2671">
        <v>116</v>
      </c>
    </row>
    <row r="1012" spans="1:27" s="652" customFormat="1" ht="13.35" customHeight="1">
      <c r="A1012" s="652" t="s">
        <v>1129</v>
      </c>
      <c r="B1012" s="3035">
        <f>'Part VI-Pro Forma'!B117</f>
        <v>-30340.780889870737</v>
      </c>
      <c r="C1012" s="3035">
        <f>'Part VI-Pro Forma'!C117</f>
        <v>-31251.004316566865</v>
      </c>
      <c r="D1012" s="3035">
        <f>'Part VI-Pro Forma'!D117</f>
        <v>-32188.534446063866</v>
      </c>
      <c r="E1012" s="3035">
        <f>'Part VI-Pro Forma'!E117</f>
        <v>-33154.190479445781</v>
      </c>
      <c r="F1012" s="3035">
        <f>'Part VI-Pro Forma'!F117</f>
        <v>-34148.816193829152</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6470</v>
      </c>
      <c r="AA1013" s="2671">
        <v>118</v>
      </c>
    </row>
    <row r="1014" spans="1:27" s="652" customFormat="1" ht="13.35" customHeight="1">
      <c r="A1014" s="652" t="s">
        <v>1130</v>
      </c>
      <c r="B1014" s="3035">
        <f>SUM(B1009:B1013)</f>
        <v>26480.56995928361</v>
      </c>
      <c r="C1014" s="3035">
        <f t="shared" ref="C1014" si="445">SUM(C1009:C1013)</f>
        <v>21256.925295963239</v>
      </c>
      <c r="D1014" s="3035">
        <f t="shared" ref="D1014" si="446">SUM(D1009:D1013)</f>
        <v>15756.657657501746</v>
      </c>
      <c r="E1014" s="3035">
        <f t="shared" ref="E1014" si="447">SUM(E1009:E1013)</f>
        <v>9968.6212819393986</v>
      </c>
      <c r="F1014" s="3035">
        <f t="shared" ref="F1014" si="448">SUM(F1009:F1013)</f>
        <v>3881.3478930044439</v>
      </c>
      <c r="G1014" s="3035"/>
      <c r="H1014" s="3035"/>
      <c r="I1014" s="3035"/>
      <c r="J1014" s="3035"/>
      <c r="K1014" s="3035"/>
      <c r="N1014" s="2846"/>
      <c r="O1014" s="2846"/>
      <c r="Z1014" s="2751" t="s">
        <v>6470</v>
      </c>
      <c r="AA1014" s="2671">
        <v>119</v>
      </c>
    </row>
    <row r="1015" spans="1:27" s="652" customFormat="1" ht="13.35" customHeight="1">
      <c r="A1015" s="652" t="str">
        <f>$A985</f>
        <v>Mortgage A</v>
      </c>
      <c r="B1015" s="3036">
        <f>'Part VI-Pro Forma'!B120</f>
        <v>-68300.795837009136</v>
      </c>
      <c r="C1015" s="3036">
        <f>'Part VI-Pro Forma'!C120</f>
        <v>-68300.795837009136</v>
      </c>
      <c r="D1015" s="3036">
        <f>'Part VI-Pro Forma'!D120</f>
        <v>-68300.795837009136</v>
      </c>
      <c r="E1015" s="3036">
        <f>'Part VI-Pro Forma'!E120</f>
        <v>-68300.795837009136</v>
      </c>
      <c r="F1015" s="3036">
        <f>'Part VI-Pro Forma'!F120</f>
        <v>-68300.795837009136</v>
      </c>
      <c r="G1015" s="3035"/>
      <c r="H1015" s="3035"/>
      <c r="I1015" s="3035"/>
      <c r="J1015" s="3035"/>
      <c r="K1015" s="3035"/>
      <c r="N1015" s="2846"/>
      <c r="O1015" s="2846"/>
      <c r="Z1015" s="2751" t="s">
        <v>6470</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35" customHeight="1">
      <c r="A1020" s="652" t="s">
        <v>1096</v>
      </c>
      <c r="B1020" s="3036">
        <f>'Part VI-Pro Forma'!B125</f>
        <v>-7500</v>
      </c>
      <c r="C1020" s="3036">
        <f>'Part VI-Pro Forma'!C125</f>
        <v>-7500</v>
      </c>
      <c r="D1020" s="3036">
        <f>'Part VI-Pro Forma'!D125</f>
        <v>-7500</v>
      </c>
      <c r="E1020" s="3036">
        <f>'Part VI-Pro Forma'!E125</f>
        <v>-7500</v>
      </c>
      <c r="F1020" s="3036">
        <f>'Part VI-Pro Forma'!F125</f>
        <v>-7500</v>
      </c>
      <c r="G1020" s="3035"/>
      <c r="H1020" s="3035"/>
      <c r="I1020" s="3035"/>
      <c r="J1020" s="3035"/>
      <c r="K1020" s="3035"/>
      <c r="N1020" s="2846"/>
      <c r="O1020" s="2846"/>
      <c r="Z1020" s="2751" t="s">
        <v>6470</v>
      </c>
      <c r="AA1020" s="2671">
        <v>125</v>
      </c>
    </row>
    <row r="1021" spans="1:27" s="652" customFormat="1" ht="13.35" customHeight="1">
      <c r="A1021" s="652" t="s">
        <v>1097</v>
      </c>
      <c r="B1021" s="3035">
        <f t="shared" ref="B1021:F1021" si="449">SUM(B1014:B1020)</f>
        <v>-49320.225877725527</v>
      </c>
      <c r="C1021" s="3035">
        <f t="shared" si="449"/>
        <v>-54543.870541045893</v>
      </c>
      <c r="D1021" s="3035">
        <f t="shared" si="449"/>
        <v>-60044.13817950739</v>
      </c>
      <c r="E1021" s="3035">
        <f t="shared" si="449"/>
        <v>-65832.174555069738</v>
      </c>
      <c r="F1021" s="3035">
        <f t="shared" si="449"/>
        <v>-71919.4479440047</v>
      </c>
      <c r="G1021" s="3035"/>
      <c r="H1021" s="3035"/>
      <c r="I1021" s="3035"/>
      <c r="J1021" s="3035"/>
      <c r="K1021" s="3035"/>
      <c r="N1021" s="2846"/>
      <c r="O1021" s="2846"/>
      <c r="Z1021" s="2751" t="s">
        <v>6470</v>
      </c>
      <c r="AA1021" s="2671">
        <v>126</v>
      </c>
    </row>
    <row r="1022" spans="1:27" s="652" customFormat="1" ht="13.35" customHeight="1">
      <c r="A1022" s="652" t="str">
        <f>$A992</f>
        <v>DCR Mortgage A</v>
      </c>
      <c r="B1022" s="3037">
        <f t="shared" ref="B1022:F1022" si="450">IF(B1015=0,"",-B1014/B1015)</f>
        <v>0.38770514508317011</v>
      </c>
      <c r="C1022" s="3037">
        <f t="shared" si="450"/>
        <v>0.31122514804498169</v>
      </c>
      <c r="D1022" s="3037">
        <f t="shared" si="450"/>
        <v>0.23069508143218326</v>
      </c>
      <c r="E1022" s="3037">
        <f t="shared" si="450"/>
        <v>0.14595175883057354</v>
      </c>
      <c r="F1022" s="3037">
        <f t="shared" si="450"/>
        <v>5.6827271855905893E-2</v>
      </c>
      <c r="G1022" s="3035"/>
      <c r="H1022" s="3035"/>
      <c r="I1022" s="3035"/>
      <c r="J1022" s="3035"/>
      <c r="K1022" s="3035"/>
      <c r="N1022" s="2846"/>
      <c r="O1022" s="2846"/>
      <c r="Z1022" s="2751" t="s">
        <v>6470</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35" customHeight="1">
      <c r="A1026" s="652" t="s">
        <v>3217</v>
      </c>
      <c r="B1026" s="3037">
        <f t="shared" ref="B1026:F1026" si="454">IF(AND(B1015=0,B1016=0,B1017=0,B1018=0),"",-B1014/(B1015+B1016+B1017+B1018))</f>
        <v>0.38770514508317011</v>
      </c>
      <c r="C1026" s="3037">
        <f t="shared" si="454"/>
        <v>0.31122514804498169</v>
      </c>
      <c r="D1026" s="3037">
        <f t="shared" si="454"/>
        <v>0.23069508143218326</v>
      </c>
      <c r="E1026" s="3037">
        <f t="shared" si="454"/>
        <v>0.14595175883057354</v>
      </c>
      <c r="F1026" s="3037">
        <f t="shared" si="454"/>
        <v>5.6827271855905893E-2</v>
      </c>
      <c r="G1026" s="3035"/>
      <c r="H1026" s="3035"/>
      <c r="I1026" s="3035"/>
      <c r="J1026" s="3035"/>
      <c r="K1026" s="3035"/>
      <c r="N1026" s="2846"/>
      <c r="O1026" s="2846"/>
      <c r="Z1026" s="2751" t="s">
        <v>6470</v>
      </c>
      <c r="AA1026" s="2857">
        <v>131</v>
      </c>
    </row>
    <row r="1027" spans="1:27" s="652" customFormat="1" ht="13.35" customHeight="1">
      <c r="A1027" s="652" t="s">
        <v>718</v>
      </c>
      <c r="B1027" s="3038">
        <f>IF(OR(B1011="Choose mgt fee",B1011="Choose One!"),"",(B1004+B1005+B1006+B1007+B1008) / -(B1010+B1011+B1012))</f>
        <v>1.0460301415701789</v>
      </c>
      <c r="C1027" s="3038">
        <f t="shared" ref="C1027:F1027" si="455">IF(OR(C1011="Choose mgt fee",C1011="Choose One!"),"",(C1004+C1005+C1006+C1007+C1008) / -(C1010+C1011+C1012))</f>
        <v>1.0358738448216782</v>
      </c>
      <c r="D1027" s="3038">
        <f t="shared" si="455"/>
        <v>1.025816918048674</v>
      </c>
      <c r="E1027" s="3038">
        <f t="shared" si="455"/>
        <v>1.0158576274535895</v>
      </c>
      <c r="F1027" s="3038">
        <f t="shared" si="455"/>
        <v>1.0059944348639425</v>
      </c>
      <c r="G1027" s="3035"/>
      <c r="H1027" s="3035"/>
      <c r="I1027" s="3035"/>
      <c r="J1027" s="3035"/>
      <c r="K1027" s="3035"/>
      <c r="N1027" s="2846"/>
      <c r="O1027" s="2846"/>
      <c r="Z1027" s="2751" t="s">
        <v>6470</v>
      </c>
      <c r="AA1027" s="2671">
        <v>132</v>
      </c>
    </row>
    <row r="1028" spans="1:27" s="652" customFormat="1" ht="13.35" customHeight="1">
      <c r="A1028" s="652" t="s">
        <v>2406</v>
      </c>
      <c r="B1028" s="3036">
        <f>'Part VI-Pro Forma'!B133</f>
        <v>-1911888.6247339225</v>
      </c>
      <c r="C1028" s="3036">
        <f>'Part VI-Pro Forma'!C133</f>
        <v>-2031912.0106921759</v>
      </c>
      <c r="D1028" s="3036">
        <f>'Part VI-Pro Forma'!D133</f>
        <v>-2155130.3414197061</v>
      </c>
      <c r="E1028" s="3036">
        <f>'Part VI-Pro Forma'!E133</f>
        <v>-2281628.6642762185</v>
      </c>
      <c r="F1028" s="3036">
        <f>'Part VI-Pro Forma'!F133</f>
        <v>-2411494.2905270318</v>
      </c>
      <c r="G1028" s="3035"/>
      <c r="H1028" s="3035"/>
      <c r="I1028" s="3035"/>
      <c r="J1028" s="3035"/>
      <c r="K1028" s="3035"/>
      <c r="N1028" s="2846"/>
      <c r="O1028" s="2846"/>
      <c r="Z1028" s="2751" t="s">
        <v>6470</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6470</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Cypress Reserve,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6640</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Applicant believes that the proposed Cypress Reserve project is viable, feasible and in conformance with the plan. The overall development, construction and operating costs were evaluated by an experience Genaral Contractor, Engineer and Management Company. Total hard cost estimates were provided by the general contractor and a third-party engineer – both with numerous historical and currently active experience in GA LIHTC and the proposed Family Walk-Up design. In addition to the residential square footage, the general contractor also accounted for the breezeways and porches square footages when providing their cost estimate. The engineer has visited the proposed site and determined the estimate for site construction costs.</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6857</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Applicant is targeting a family tenancy for the proposed project</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2</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 xml:space="preserve">Applicant certifies that they will include the number of services required in the QAP for the proposed tenancy. </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Rural</v>
      </c>
      <c r="J1094" s="2802" t="s">
        <v>6641</v>
      </c>
      <c r="K1094" s="2692" t="str">
        <f>'Part VIII Scoring Criteria'!$M$59</f>
        <v>Rural</v>
      </c>
      <c r="L1094" s="2802" t="s">
        <v>3825</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Novogradac</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2-3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0.99299999999999999</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0.121</v>
      </c>
      <c r="L1099" s="3073"/>
      <c r="N1099" s="3074"/>
      <c r="O1099" s="3075" t="s">
        <v>3392</v>
      </c>
      <c r="P1099" s="3072" t="str">
        <f>'Part VII-Threshold Criteria'!P61</f>
        <v>N/A</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2016-268</v>
      </c>
      <c r="E1102" s="2913" t="str">
        <f>'Part VII-Threshold Criteria'!E64</f>
        <v>Bear Creek Village</v>
      </c>
      <c r="F1102" s="2913"/>
      <c r="G1102" s="2913"/>
      <c r="H1102" s="3064" t="s">
        <v>2183</v>
      </c>
      <c r="I1102" s="3066">
        <f>'Part VII-Threshold Criteria'!I64</f>
        <v>0</v>
      </c>
      <c r="J1102" s="2913">
        <f>'Part VII-Threshold Criteria'!J64</f>
        <v>0</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f>'Part VII-Threshold Criteria'!D65</f>
        <v>0</v>
      </c>
      <c r="E1103" s="2913">
        <f>'Part VII-Threshold Criteria'!E65</f>
        <v>0</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f>'Part VII-Threshold Criteria'!D66</f>
        <v>0</v>
      </c>
      <c r="E1104" s="2913">
        <f>'Part VII-Threshold Criteria'!E66</f>
        <v>0</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6111</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6112</v>
      </c>
      <c r="D1107" s="3011"/>
      <c r="E1107" s="3011"/>
      <c r="F1107" s="3011"/>
      <c r="G1107" s="3011"/>
      <c r="H1107" s="3011"/>
      <c r="I1107" s="2550"/>
      <c r="J1107" s="2550"/>
      <c r="K1107" s="3011"/>
      <c r="L1107" s="2963"/>
      <c r="M1107" s="2963"/>
      <c r="O1107" s="3064" t="s">
        <v>3006</v>
      </c>
      <c r="P1107" s="3066">
        <f>'Part VII-Threshold Criteria'!P69</f>
        <v>0.95</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Please see Tab 5 of the Application for the market study performed by Novogradac. There are No current LIHTC vacancies in the market and the LIHTC comparables reported waiting lists from three to 265 households in length. The low vacancy rates and presence of waiting lists at these properties indicates there is an unmet demand for affordable housing in the are.</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45">
      <c r="A1127" s="3049" t="str">
        <f>'Part VII-Threshold Criteria'!A89</f>
        <v>There is no identity of interest of interest</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6539</v>
      </c>
      <c r="O1130" s="3047" t="s">
        <v>1731</v>
      </c>
      <c r="P1130" s="2135"/>
      <c r="Q1130" s="2135"/>
      <c r="R1130" s="2833" t="s">
        <v>6526</v>
      </c>
    </row>
    <row r="1131" spans="1:31" s="652" customFormat="1" ht="6.6" customHeight="1"/>
    <row r="1132" spans="1:31" s="652" customFormat="1">
      <c r="A1132" s="3064" t="s">
        <v>1842</v>
      </c>
      <c r="B1132" s="474" t="s">
        <v>6192</v>
      </c>
      <c r="D1132" s="3011"/>
      <c r="E1132" s="3011"/>
      <c r="F1132" s="3011"/>
      <c r="G1132" s="3011"/>
      <c r="H1132" s="3011"/>
      <c r="I1132" s="2550"/>
      <c r="J1132" s="2550"/>
      <c r="K1132" s="3064" t="s">
        <v>1842</v>
      </c>
      <c r="L1132" s="3000" t="str">
        <f>'Part VII-Threshold Criteria'!L94</f>
        <v>Geotechnical &amp; Environmental Consultants, Inc., A Terracon Company</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f>'Part VII-Threshold Criteria'!K96</f>
        <v>44658</v>
      </c>
      <c r="L1134" s="3077"/>
      <c r="N1134" s="1024" t="s">
        <v>6528</v>
      </c>
      <c r="P1134" s="3076">
        <f>'Part VII-Threshold Criteria'!P96</f>
        <v>44700</v>
      </c>
      <c r="Q1134" s="3077"/>
    </row>
    <row r="1135" spans="1:31" s="652" customFormat="1" ht="12" customHeight="1">
      <c r="A1135" s="3064" t="s">
        <v>1844</v>
      </c>
      <c r="B1135" s="474" t="s">
        <v>6638</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 Inc., A Terracon Company</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57 dB</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6624</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6626</v>
      </c>
      <c r="E1143" s="3079" t="s">
        <v>2241</v>
      </c>
      <c r="F1143" s="2971" t="s">
        <v>6627</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6628</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6626</v>
      </c>
      <c r="E1146" s="3079" t="s">
        <v>2241</v>
      </c>
      <c r="F1146" s="2971" t="s">
        <v>6629</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6630</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2502</v>
      </c>
      <c r="J1149" s="3066" t="str">
        <f>'Part VII-Threshold Criteria'!J111</f>
        <v>No</v>
      </c>
      <c r="K1149" s="2976"/>
      <c r="L1149" s="3064" t="s">
        <v>3866</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No</v>
      </c>
      <c r="G1150" s="2976"/>
      <c r="H1150" s="3064" t="s">
        <v>3863</v>
      </c>
      <c r="I1150" s="474" t="s">
        <v>6113</v>
      </c>
      <c r="J1150" s="3066" t="str">
        <f>'Part VII-Threshold Criteria'!J112</f>
        <v>No</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3864</v>
      </c>
      <c r="I1151" s="474" t="s">
        <v>6114</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6195</v>
      </c>
      <c r="J1152" s="3066" t="str">
        <f>'Part VII-Threshold Criteria'!J114</f>
        <v>No</v>
      </c>
      <c r="K1152" s="2976"/>
      <c r="L1152" s="3064" t="s">
        <v>6196</v>
      </c>
      <c r="M1152" s="1024" t="s">
        <v>6115</v>
      </c>
      <c r="P1152" s="3066" t="str">
        <f>'Part VII-Threshold Criteria'!P114</f>
        <v>No</v>
      </c>
      <c r="Q1152" s="2976"/>
    </row>
    <row r="1153" spans="1:31" s="652" customFormat="1" ht="12" customHeight="1">
      <c r="A1153" s="474"/>
      <c r="B1153" s="3064" t="s">
        <v>6530</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6858</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12.5">
      <c r="A1163" s="3049" t="str">
        <f>'Part VII-Threshold Criteria'!A125</f>
        <v xml:space="preserve">This project did not request HOME Funds. Please see Tab 7 for the Environmental Report.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6539</v>
      </c>
      <c r="O1168" s="3047" t="s">
        <v>1731</v>
      </c>
      <c r="P1168" s="2135"/>
      <c r="Q1168" s="2135"/>
      <c r="R1168" s="2833" t="s">
        <v>6526</v>
      </c>
    </row>
    <row r="1169" spans="1:31" s="652" customFormat="1" ht="12" customHeight="1">
      <c r="A1169" s="3064" t="s">
        <v>1842</v>
      </c>
      <c r="B1169" s="2923" t="s">
        <v>1615</v>
      </c>
      <c r="C1169" s="474" t="s">
        <v>6804</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2461</v>
      </c>
      <c r="M1170" s="3086">
        <f>'Part VII-Threshold Criteria'!M132</f>
        <v>0</v>
      </c>
      <c r="N1170" s="3086"/>
      <c r="O1170" s="3064" t="s">
        <v>1616</v>
      </c>
      <c r="P1170" s="3066">
        <f>'Part VII-Threshold Criteria'!P132</f>
        <v>0</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Cypress Reserve, LP</v>
      </c>
      <c r="L1172" s="2913"/>
      <c r="M1172" s="2913"/>
      <c r="N1172" s="2913"/>
      <c r="O1172" s="2913"/>
      <c r="P1172" s="2913"/>
      <c r="Q1172" s="2976"/>
    </row>
    <row r="1173" spans="1:31" s="652" customFormat="1" ht="21.75" customHeight="1">
      <c r="A1173" s="3058" t="s">
        <v>1963</v>
      </c>
      <c r="B1173" s="3053" t="s">
        <v>6198</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Please see Tab 8 for evidence of site control through November 30, 2022.</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3236</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Please see Tab 9 for evidence of the site is legally accessible by paved roads.</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6539</v>
      </c>
      <c r="O1189" s="3047" t="s">
        <v>1731</v>
      </c>
      <c r="P1189" s="2135"/>
      <c r="Q1189" s="2135"/>
      <c r="R1189" s="2833" t="s">
        <v>6526</v>
      </c>
    </row>
    <row r="1190" spans="1:44" s="652" customFormat="1" ht="11.4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6116</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Please see Tab 10 for evidence that the project is in compliance with current zoning regulations and confirmed in writing by the authorized Local Governement official.</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6539</v>
      </c>
      <c r="O1207" s="3047" t="s">
        <v>1731</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f>'Part VII-Threshold Criteria'!J171</f>
        <v>0</v>
      </c>
      <c r="K1209" s="2913"/>
      <c r="L1209" s="2913"/>
      <c r="M1209" s="2913"/>
      <c r="N1209" s="2913"/>
      <c r="O1209" s="3064" t="s">
        <v>1615</v>
      </c>
      <c r="P1209" s="3066">
        <f>'Part VII-Threshold Criteria'!P171</f>
        <v>0</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City of Adel</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 xml:space="preserve">Please see Tab 11 of the application for a letter form City of Adel confirming electric services are available at the site. There is no gas service required for the development. </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6539</v>
      </c>
      <c r="O1215" s="3047" t="s">
        <v>1731</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Adel</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Adel</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6860</v>
      </c>
      <c r="E1219" s="474"/>
      <c r="F1219" s="474"/>
      <c r="G1219" s="474"/>
      <c r="H1219" s="474"/>
      <c r="I1219" s="474"/>
      <c r="J1219" s="474"/>
      <c r="K1219" s="2550"/>
      <c r="L1219" s="474"/>
      <c r="M1219" s="474"/>
      <c r="O1219" s="3058" t="s">
        <v>6509</v>
      </c>
      <c r="P1219" s="3066" t="str">
        <f>'Part VII-Threshold Criteria'!P181</f>
        <v>No</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Please see Tab 12 verification of water/sewer letter. No commitment required to extend water &amp; sewer to the proposed development site.</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6862</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6863</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3155</v>
      </c>
      <c r="O1235" s="3092">
        <f>'Part V-Revenues &amp; Expenses'!$P$67</f>
        <v>50</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6864</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Equipped playground</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6101</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Applicant agrees to provide the above required amenities in conformance with DCA Amenities Guidebook. The proposed development is of Family tenancy.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6118</v>
      </c>
      <c r="C1255" s="2923"/>
      <c r="D1255" s="3052"/>
      <c r="E1255" s="3052"/>
      <c r="F1255" s="3052"/>
      <c r="G1255" s="3052"/>
      <c r="H1255" s="3052"/>
      <c r="I1255" s="3052"/>
      <c r="J1255" s="3052"/>
      <c r="K1255" s="3064" t="s">
        <v>6744</v>
      </c>
      <c r="L1255" s="3069" t="str">
        <f>'Part I-Project Identification'!$P$29</f>
        <v>No</v>
      </c>
      <c r="M1255" s="3052"/>
      <c r="O1255" s="3047" t="s">
        <v>1731</v>
      </c>
      <c r="P1255" s="2135"/>
      <c r="Q1255" s="2135"/>
    </row>
    <row r="1256" spans="1:44" s="652" customFormat="1" ht="11.25" customHeight="1">
      <c r="A1256" s="3058" t="s">
        <v>1842</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6124</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6119</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N/A</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6213</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N/A</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6125</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Please see Tab 16 for the Conceptual Site Development Plan prepared in accordance with all instructions set forth in the DCA Architectural Manual, Appendix II: Submission Requirements.</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6204</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180">
      <c r="A1315" s="3049" t="str">
        <f>'Part VII-Threshold Criteria'!A277</f>
        <v xml:space="preserve">Applicant Worksheet exceeds requirements for Earthcraft MF designation and applicants has attended the appropriate Earthcraft Training.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6806</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6807</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3391</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70">
      <c r="A1342" s="3049" t="str">
        <f>'Part VII-Threshold Criteria'!A304</f>
        <v xml:space="preserve">Applicant agrees to retain a DCA qualified consultant to monitor the project for accessibility compliance who will not be a member of the project team nor have an identity of interest with any member of the project team.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6307</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6308</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6776</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 xml:space="preserve">Applicant agrees to meet DCA requirements per the 2022 QAP and Architectural Standards.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6540</v>
      </c>
      <c r="C1364" s="2906"/>
      <c r="D1364" s="3052"/>
      <c r="E1364" s="3052"/>
      <c r="F1364" s="3052"/>
      <c r="G1364" s="3052"/>
      <c r="H1364" s="3052"/>
      <c r="N1364" s="2833" t="s">
        <v>6539</v>
      </c>
      <c r="O1364" s="3047" t="s">
        <v>1731</v>
      </c>
      <c r="P1364" s="2135"/>
      <c r="Q1364" s="2135"/>
      <c r="R1364" s="2833" t="s">
        <v>6526</v>
      </c>
    </row>
    <row r="1365" spans="1:44" s="652" customFormat="1" ht="11.45" customHeight="1">
      <c r="A1365" s="3064" t="s">
        <v>1842</v>
      </c>
      <c r="B1365" s="1024" t="s">
        <v>6535</v>
      </c>
      <c r="O1365" s="3058" t="s">
        <v>1842</v>
      </c>
      <c r="P1365" s="3066" t="str">
        <f>'Part VII-Threshold Criteria'!P327</f>
        <v>Yes</v>
      </c>
      <c r="Q1365" s="2976"/>
    </row>
    <row r="1366" spans="1:44" s="652" customFormat="1" ht="11.45" customHeight="1">
      <c r="A1366" s="3058" t="s">
        <v>1844</v>
      </c>
      <c r="B1366" s="1024" t="s">
        <v>6542</v>
      </c>
      <c r="O1366" s="3058" t="s">
        <v>1844</v>
      </c>
      <c r="P1366" s="3066" t="str">
        <f>'Part VII-Threshold Criteria'!P328</f>
        <v>Yes</v>
      </c>
      <c r="Q1366" s="2976"/>
    </row>
    <row r="1367" spans="1:44" s="652" customFormat="1" ht="11.45" customHeight="1">
      <c r="A1367" s="3058" t="s">
        <v>698</v>
      </c>
      <c r="B1367" s="1024" t="s">
        <v>6543</v>
      </c>
      <c r="K1367" s="2822"/>
      <c r="M1367" s="3058" t="s">
        <v>698</v>
      </c>
      <c r="N1367" s="2698" t="str">
        <f>'Part VII-Threshold Criteria'!N329</f>
        <v>No</v>
      </c>
      <c r="O1367" s="2698"/>
      <c r="P1367" s="2719" t="s">
        <v>1647</v>
      </c>
      <c r="Q1367" s="2719"/>
    </row>
    <row r="1368" spans="1:44" s="652" customFormat="1" ht="11.45" customHeight="1">
      <c r="A1368" s="3064" t="s">
        <v>1963</v>
      </c>
      <c r="B1368" s="1024" t="s">
        <v>6544</v>
      </c>
      <c r="O1368" s="3064" t="s">
        <v>1963</v>
      </c>
      <c r="P1368" s="3066" t="str">
        <f>'Part VII-Threshold Criteria'!P330</f>
        <v>No</v>
      </c>
      <c r="Q1368" s="2976"/>
    </row>
    <row r="1369" spans="1:44" s="652" customFormat="1" ht="11.45" customHeight="1">
      <c r="A1369" s="3058" t="s">
        <v>1613</v>
      </c>
      <c r="B1369" s="1024" t="s">
        <v>6545</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certifying entity met the experience reqiurements in 2021. A pre-applicatioon was submitted and the Project Team was deemed "Qualified". The Qualification determination  is in Tab 20 of the application.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6548</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6809</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50</v>
      </c>
      <c r="F1381" s="474" t="s">
        <v>3898</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6810</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50</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6549</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50</v>
      </c>
      <c r="F1386" s="474" t="s">
        <v>3898</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Not applicabe to the proposed subject development.</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t="str">
        <f>'Part VII-Threshold Criteria'!I355</f>
        <v>Community Action Partnership of North Alabama</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t="str">
        <f>'Part VII-Threshold Criteria'!I356</f>
        <v>www.capna.org</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t="str">
        <f>'Part VII-Threshold Criteria'!P358</f>
        <v>Yes</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t="str">
        <f>'Part VII-Threshold Criteria'!P360</f>
        <v>Yes</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t="str">
        <f>'Part VII-Threshold Criteria'!P361</f>
        <v>Yes</v>
      </c>
      <c r="Q1399" s="3059"/>
    </row>
    <row r="1400" spans="1:31" s="2980" customFormat="1">
      <c r="C1400" s="3061" t="s">
        <v>6866</v>
      </c>
      <c r="E1400" s="3052"/>
      <c r="F1400" s="3052"/>
      <c r="G1400" s="3052"/>
      <c r="H1400" s="3052"/>
      <c r="I1400" s="3052"/>
      <c r="J1400" s="3052"/>
      <c r="K1400" s="3052"/>
      <c r="L1400" s="3052"/>
      <c r="M1400" s="3052"/>
      <c r="N1400" s="3052"/>
      <c r="P1400" s="3078" t="str">
        <f>'Part VII-Threshold Criteria'!P362</f>
        <v>N/A</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270">
      <c r="A1404" s="3049" t="str">
        <f>'Part VII-Threshold Criteria'!A366</f>
        <v>Community Action Partnership of North Alabama, Inc. is a qualified non-profit. Please see Tab 22 for the letter from a third party attorney who specializes in tax law confirming the non-profit's current tax exempt qualification status.</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 xml:space="preserve">Not Applicable to this project. </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3146</v>
      </c>
      <c r="D1420" s="3053"/>
      <c r="E1420" s="3053"/>
      <c r="O1420" s="3064" t="s">
        <v>1844</v>
      </c>
      <c r="P1420" s="3066" t="str">
        <f>'Part VII-Threshold Criteria'!P382</f>
        <v>No</v>
      </c>
      <c r="Q1420" s="2976"/>
    </row>
    <row r="1421" spans="1:31" s="652" customFormat="1" ht="12" customHeight="1">
      <c r="A1421" s="3064" t="s">
        <v>698</v>
      </c>
      <c r="B1421" s="474" t="s">
        <v>4035</v>
      </c>
      <c r="D1421" s="3053"/>
      <c r="E1421" s="3053"/>
      <c r="O1421" s="3064" t="s">
        <v>698</v>
      </c>
      <c r="P1421" s="3066" t="str">
        <f>'Part VII-Threshold Criteria'!P383</f>
        <v>Yes</v>
      </c>
      <c r="Q1421" s="2976"/>
    </row>
    <row r="1422" spans="1:31" s="652" customFormat="1" ht="12" customHeight="1">
      <c r="A1422" s="3064" t="s">
        <v>1963</v>
      </c>
      <c r="B1422" s="474" t="s">
        <v>3147</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Please see Tab 24 for the attorney opinion letter regarding the Nonprofit's federal tax exempt qualification status.</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6257</v>
      </c>
      <c r="O1430" s="3064"/>
      <c r="P1430" s="3066">
        <f>'Part VII-Threshold Criteria'!P392</f>
        <v>0</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3946</v>
      </c>
      <c r="D1436" s="474" t="s">
        <v>3143</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6157</v>
      </c>
      <c r="D1438" s="3053"/>
      <c r="E1438" s="3053"/>
      <c r="F1438" s="3053"/>
      <c r="G1438" s="474" t="s">
        <v>3947</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6235</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45">
      <c r="A1462" s="3049" t="str">
        <f>'Part VII-Threshold Criteria'!A424</f>
        <v xml:space="preserve">Not Applicable to this project.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 xml:space="preserve">Applicant agrees to prepare and submit an AFFH Marketing plan that meets the requirements if selected for funding. </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Applicant believes that the project as proposed is an optimal utilization of resources and will bring much needed affordable housing to the subject market area.</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Cypress Reserve,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71.5</v>
      </c>
      <c r="P1497" s="3132">
        <f>P1932</f>
        <v>25</v>
      </c>
      <c r="Q1497" s="3133" t="s">
        <v>6869</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6500</v>
      </c>
      <c r="G1503" s="3020"/>
      <c r="H1503" s="3020"/>
      <c r="I1503" s="3020"/>
      <c r="J1503" s="3020"/>
      <c r="K1503" s="3020"/>
      <c r="L1503" s="3020"/>
      <c r="M1503" s="3020"/>
      <c r="N1503" s="3020"/>
      <c r="O1503" s="3137" t="s">
        <v>3814</v>
      </c>
      <c r="P1503" s="2976">
        <f>SUM(P1504:P1522)</f>
        <v>0</v>
      </c>
      <c r="Q1503" s="3053" t="s">
        <v>6872</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6510</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6510</v>
      </c>
      <c r="AA1524" s="3144"/>
      <c r="AB1524" s="3144"/>
      <c r="AC1524" s="3144"/>
      <c r="AD1524" s="3144" t="s">
        <v>6130</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3341</v>
      </c>
      <c r="T1530" s="2692"/>
      <c r="U1530" s="474"/>
      <c r="V1530" s="474"/>
      <c r="W1530" s="474"/>
      <c r="X1530" s="3146">
        <f>O1642</f>
        <v>1.5</v>
      </c>
      <c r="Y1530" s="3146">
        <f>O1642</f>
        <v>1.5</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6</v>
      </c>
      <c r="Y1531" s="3147">
        <f>O1659</f>
        <v>6</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6564</v>
      </c>
      <c r="N1532" s="2692"/>
      <c r="O1532" s="2692"/>
      <c r="P1532" s="2707" t="str">
        <f>'Part VIII Scoring Criteria'!P41</f>
        <v>Yes</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No</v>
      </c>
      <c r="Q1533" s="2753"/>
      <c r="R1533" s="2802" t="s">
        <v>342</v>
      </c>
      <c r="S1533" s="2883" t="s">
        <v>4043</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t="str">
        <f>'Part VIII Scoring Criteria'!P43</f>
        <v>No</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6518</v>
      </c>
      <c r="N1535" s="2719"/>
      <c r="O1535" s="2847" t="s">
        <v>6147</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3372</v>
      </c>
      <c r="S1537" s="2883" t="s">
        <v>4047</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3372</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t="str">
        <f>'Part VIII Scoring Criteria'!P48</f>
        <v>No</v>
      </c>
      <c r="R1539" s="2802" t="s">
        <v>3372</v>
      </c>
      <c r="S1539" s="2883" t="s">
        <v>6556</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3373</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f>'Part II-Sources of Funds'!$L$14</f>
        <v>0</v>
      </c>
      <c r="R1540" s="2802" t="s">
        <v>3373</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6562</v>
      </c>
      <c r="C1541" s="2833"/>
      <c r="D1541" s="1024"/>
      <c r="E1541" s="1024"/>
      <c r="F1541" s="1024"/>
      <c r="G1541" s="3146">
        <v>2</v>
      </c>
      <c r="H1541" s="3146"/>
      <c r="I1541" s="3146"/>
      <c r="J1541" s="3146">
        <v>2</v>
      </c>
      <c r="K1541" s="3146">
        <v>2</v>
      </c>
      <c r="L1541" s="3146">
        <v>2</v>
      </c>
      <c r="Q1541" s="2753"/>
      <c r="R1541" s="2802" t="s">
        <v>3371</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3374</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1</v>
      </c>
      <c r="Y1544" s="3147">
        <f>O1832</f>
        <v>1</v>
      </c>
      <c r="Z1544" s="3147">
        <f>O1832</f>
        <v>1</v>
      </c>
      <c r="AA1544" s="3147">
        <f>O1832</f>
        <v>1</v>
      </c>
      <c r="AB1544" s="3147">
        <f>O1832</f>
        <v>1</v>
      </c>
      <c r="AC1544" s="3147">
        <f>O1832</f>
        <v>1</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6558</v>
      </c>
      <c r="C1547" s="2833"/>
      <c r="D1547" s="1024"/>
      <c r="E1547" s="1024"/>
      <c r="F1547" s="1024"/>
      <c r="G1547" s="3146">
        <v>3</v>
      </c>
      <c r="H1547" s="3146">
        <v>3</v>
      </c>
      <c r="I1547" s="3146">
        <v>3</v>
      </c>
      <c r="J1547" s="3146">
        <v>3</v>
      </c>
      <c r="K1547" s="3146">
        <v>3</v>
      </c>
      <c r="L1547" s="3146">
        <v>3</v>
      </c>
      <c r="R1547" s="2802" t="s">
        <v>3381</v>
      </c>
      <c r="S1547" s="2883" t="s">
        <v>6558</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3382</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6560</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3807</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71.5</v>
      </c>
      <c r="Y1553" s="3153">
        <f t="shared" ref="Y1553" si="462">SUM(Y1526:Y1551)</f>
        <v>61.5</v>
      </c>
      <c r="Z1553" s="3153">
        <f>SUM(Z1526:Z1551)</f>
        <v>32</v>
      </c>
      <c r="AA1553" s="3153">
        <f>SUM(AA1526:AA1551)</f>
        <v>34</v>
      </c>
      <c r="AB1553" s="3153">
        <f>SUM(AB1526:AB1551)</f>
        <v>36</v>
      </c>
      <c r="AC1553" s="3153">
        <f>SUM(AC1526:AC1551)</f>
        <v>36</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6874</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6875</v>
      </c>
    </row>
    <row r="1557" spans="1:35" s="3093" customFormat="1" ht="12.75" customHeight="1">
      <c r="A1557" s="2950"/>
      <c r="B1557" s="3155" t="s">
        <v>1845</v>
      </c>
      <c r="C1557" s="2135" t="s">
        <v>3812</v>
      </c>
      <c r="D1557" s="2135"/>
      <c r="E1557" s="2135"/>
      <c r="F1557" s="2976"/>
      <c r="H1557" s="2692" t="s">
        <v>3178</v>
      </c>
      <c r="J1557" s="2967"/>
      <c r="N1557" s="3156" t="s">
        <v>1845</v>
      </c>
      <c r="P1557" s="2987">
        <f>F1565</f>
        <v>0</v>
      </c>
    </row>
    <row r="1558" spans="1:35" s="3093" customFormat="1" ht="12.75" customHeight="1">
      <c r="A1558" s="2950"/>
      <c r="B1558" s="3155" t="s">
        <v>1847</v>
      </c>
      <c r="C1558" s="2135" t="s">
        <v>6876</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6877</v>
      </c>
      <c r="J1562" s="2967"/>
      <c r="M1562" s="2910"/>
      <c r="N1562" s="3064" t="s">
        <v>1844</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3393</v>
      </c>
      <c r="G1564" s="3011" t="s">
        <v>6778</v>
      </c>
      <c r="H1564" s="3011"/>
      <c r="I1564" s="3011"/>
      <c r="J1564" s="2822" t="s">
        <v>3393</v>
      </c>
      <c r="K1564" s="3006" t="s">
        <v>6779</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6879</v>
      </c>
      <c r="E1581" s="474"/>
      <c r="G1581" s="3006"/>
      <c r="H1581" s="1024" t="s">
        <v>6653</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2</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0</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6880</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6881</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3282</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project is eligible to receive the full 20 desirable points. The proposed development's site location is within close proximity to numerous amenities, including a a medical care provider, restaurant, Federally Insured Banking Institution, retail stores, pharmacy, child care service, grocery store,church, public park and a police station. Please see Tab 27 for the desirable certification and all backup documentation. There are no undesirables. Project is not located in a USDA Food desert.</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6149</v>
      </c>
      <c r="I1603" s="2847" t="s">
        <v>6145</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6151</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3219</v>
      </c>
      <c r="G1613" s="2135"/>
      <c r="H1613" s="2135"/>
      <c r="I1613" s="2135"/>
      <c r="J1613" s="2135" t="s">
        <v>3220</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31.122126999999999</v>
      </c>
      <c r="G1614" s="2711"/>
      <c r="H1614" s="3190"/>
      <c r="I1614" s="3190"/>
      <c r="J1614" s="2711">
        <f>'Part VIII Scoring Criteria'!J123</f>
        <v>-83.414765000000003</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31.122126999999999</v>
      </c>
      <c r="G1615" s="2711"/>
      <c r="H1615" s="3190"/>
      <c r="I1615" s="3190"/>
      <c r="J1615" s="2711">
        <f>'Part VIII Scoring Criteria'!J124</f>
        <v>-83.414765000000003</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3240</v>
      </c>
      <c r="D1621" s="3180"/>
      <c r="F1621" s="2967" t="s">
        <v>6885</v>
      </c>
      <c r="M1621" s="2910">
        <v>6</v>
      </c>
      <c r="N1621" s="3156" t="s">
        <v>1842</v>
      </c>
      <c r="O1621" s="3132">
        <f>'Part VIII Scoring Criteria'!O130</f>
        <v>0</v>
      </c>
      <c r="P1621" s="3132">
        <f>'Part VIII Scoring Criteria'!P130</f>
        <v>0</v>
      </c>
      <c r="Q1621" s="2910"/>
    </row>
    <row r="1622" spans="1:21" s="3093" customFormat="1" ht="12.6" customHeight="1">
      <c r="A1622" s="3067"/>
      <c r="B1622" s="474" t="s">
        <v>6153</v>
      </c>
      <c r="D1622" s="3180"/>
      <c r="F1622" s="2967"/>
      <c r="M1622" s="2910"/>
      <c r="N1622" s="3156"/>
      <c r="O1622" s="3066">
        <f>'Part VIII Scoring Criteria'!O131</f>
        <v>0</v>
      </c>
      <c r="P1622" s="2976"/>
      <c r="Q1622" s="2910"/>
    </row>
    <row r="1623" spans="1:21" s="3195" customFormat="1" ht="15">
      <c r="B1623" s="3196" t="s">
        <v>1845</v>
      </c>
      <c r="C1623" s="2749" t="s">
        <v>6886</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6887</v>
      </c>
      <c r="D1624" s="2849"/>
      <c r="E1624" s="2849"/>
      <c r="F1624" s="2849"/>
      <c r="G1624" s="2746"/>
      <c r="J1624" s="2849" t="s">
        <v>6888</v>
      </c>
      <c r="K1624" s="2849"/>
      <c r="L1624" s="2849"/>
      <c r="M1624" s="2917">
        <v>5</v>
      </c>
      <c r="N1624" s="3187" t="s">
        <v>1847</v>
      </c>
      <c r="O1624" s="3199">
        <f>'Part VIII Scoring Criteria'!O133</f>
        <v>0</v>
      </c>
      <c r="P1624" s="3132"/>
      <c r="Q1624" s="2802" t="s">
        <v>6678</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6890</v>
      </c>
      <c r="J1628" s="2744" t="str">
        <f>'Part VIII Scoring Criteria'!J137</f>
        <v>MIDS Transportation, Inc.</v>
      </c>
      <c r="K1628" s="2744"/>
      <c r="L1628" s="3204" t="s">
        <v>3239</v>
      </c>
      <c r="M1628" s="2917">
        <v>3</v>
      </c>
      <c r="N1628" s="3064" t="s">
        <v>1844</v>
      </c>
      <c r="O1628" s="3012">
        <f>'Part VIII Scoring Criteria'!O137</f>
        <v>2</v>
      </c>
      <c r="P1628" s="3012">
        <f>'Part VIII Scoring Criteria'!P137</f>
        <v>3</v>
      </c>
      <c r="Q1628" s="2802" t="s">
        <v>6679</v>
      </c>
      <c r="R1628" s="2976">
        <v>0.25</v>
      </c>
      <c r="S1628" s="2976">
        <v>3</v>
      </c>
    </row>
    <row r="1629" spans="1:21" s="3093" customFormat="1" ht="12" customHeight="1">
      <c r="A1629" s="3135"/>
      <c r="B1629" s="3205" t="s">
        <v>1845</v>
      </c>
      <c r="C1629" s="2692" t="s">
        <v>6891</v>
      </c>
      <c r="D1629" s="2849"/>
      <c r="E1629" s="2849"/>
      <c r="F1629" s="2849"/>
      <c r="G1629" s="2746"/>
      <c r="H1629" s="2849" t="s">
        <v>6892</v>
      </c>
      <c r="I1629" s="2849"/>
      <c r="J1629" s="2875" t="s">
        <v>6697</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midsinc.net/our-services/
On-Call service with no schedule posted on website.</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6893</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6894</v>
      </c>
      <c r="D1633" s="2849"/>
      <c r="E1633" s="2849"/>
      <c r="F1633" s="2849"/>
      <c r="G1633" s="2849"/>
      <c r="H1633" s="2849"/>
      <c r="I1633" s="2849"/>
      <c r="J1633" s="2744" t="str">
        <f>'Part VIII Scoring Criteria'!J142</f>
        <v>midsinc.net/our-services/
On-Call service with no schedule posted on website.</v>
      </c>
      <c r="K1633" s="2744"/>
      <c r="L1633" s="2744"/>
      <c r="M1633" s="2522">
        <v>2</v>
      </c>
      <c r="N1633" s="3196" t="s">
        <v>2333</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6895</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247.5">
      <c r="A1637" s="3049" t="str">
        <f>'Part VIII Scoring Criteria'!A146</f>
        <v>Please see Tab 28 for the Community Transportation documentations. The proposed application is located in the Rural pool and on-call service on-site transportation will be provided by MIDS Transportation.</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3825</v>
      </c>
      <c r="H1642" s="2847" t="str">
        <f>'Part VII-Threshold Criteria'!$J$35</f>
        <v>Family</v>
      </c>
      <c r="M1642" s="2910">
        <v>3</v>
      </c>
      <c r="N1642" s="3141"/>
      <c r="O1642" s="2912">
        <f>'Part VIII Scoring Criteria'!O151</f>
        <v>1.5</v>
      </c>
      <c r="P1642" s="2910">
        <f>'Part VIII Scoring Criteria'!P151</f>
        <v>0</v>
      </c>
      <c r="Q1642" s="3104" t="str">
        <f>IF(OR($O1642&lt;=$M1642,$O1642=0,$O1642=""),"","*CHECK!*")</f>
        <v/>
      </c>
      <c r="R1642" s="2906" t="s">
        <v>416</v>
      </c>
      <c r="S1642" s="2694" t="s">
        <v>4063</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Cook Primary School</v>
      </c>
      <c r="C1648" s="2875"/>
      <c r="D1648" s="2875"/>
      <c r="E1648" s="2875"/>
      <c r="F1648" s="2875" t="str">
        <f>'Part VIII Scoring Criteria'!F157</f>
        <v>No</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38.25">
      <c r="B1649" s="2875" t="str">
        <f>'Part VIII Scoring Criteria'!B158</f>
        <v>Cook Elementary School</v>
      </c>
      <c r="C1649" s="2875"/>
      <c r="D1649" s="2875"/>
      <c r="E1649" s="2875"/>
      <c r="F1649" s="2875" t="str">
        <f>'Part VIII Scoring Criteria'!F158</f>
        <v>No</v>
      </c>
      <c r="G1649" s="2875"/>
      <c r="H1649" s="2875" t="str">
        <f>'Part VIII Scoring Criteria'!H158</f>
        <v>No</v>
      </c>
      <c r="I1649" s="2875"/>
      <c r="J1649" s="2913" t="str">
        <f>'Part VIII Scoring Criteria'!J158</f>
        <v>No</v>
      </c>
      <c r="K1649" s="2913"/>
      <c r="L1649" s="2913" t="str">
        <f>'Part VIII Scoring Criteria'!L158</f>
        <v>Yes</v>
      </c>
      <c r="M1649" s="2913"/>
      <c r="N1649" s="2971"/>
      <c r="O1649" s="2971"/>
      <c r="P1649" s="2857"/>
    </row>
    <row r="1650" spans="1:21" ht="25.5">
      <c r="B1650" s="2875" t="str">
        <f>'Part VIII Scoring Criteria'!B159</f>
        <v>Cook County Middle School</v>
      </c>
      <c r="C1650" s="2875"/>
      <c r="D1650" s="2875"/>
      <c r="E1650" s="2875"/>
      <c r="F1650" s="2875" t="str">
        <f>'Part VIII Scoring Criteria'!F159</f>
        <v>No</v>
      </c>
      <c r="G1650" s="2875"/>
      <c r="H1650" s="2875" t="str">
        <f>'Part VIII Scoring Criteria'!H159</f>
        <v>Yes</v>
      </c>
      <c r="I1650" s="2875"/>
      <c r="J1650" s="2913" t="str">
        <f>'Part VIII Scoring Criteria'!J159</f>
        <v>Yes</v>
      </c>
      <c r="K1650" s="2913"/>
      <c r="L1650" s="2913" t="str">
        <f>'Part VIII Scoring Criteria'!L159</f>
        <v>Yes</v>
      </c>
      <c r="M1650" s="2913"/>
      <c r="N1650" s="2971"/>
      <c r="O1650" s="2971"/>
      <c r="P1650" s="2857"/>
    </row>
    <row r="1651" spans="1:21" ht="25.5">
      <c r="B1651" s="2875" t="str">
        <f>'Part VIII Scoring Criteria'!B160</f>
        <v>Cook High School</v>
      </c>
      <c r="C1651" s="2875"/>
      <c r="D1651" s="2875"/>
      <c r="E1651" s="2875"/>
      <c r="F1651" s="2875" t="str">
        <f>'Part VIII Scoring Criteria'!F160</f>
        <v>No</v>
      </c>
      <c r="G1651" s="2875"/>
      <c r="H1651" s="2875" t="str">
        <f>'Part VIII Scoring Criteria'!H160</f>
        <v>No</v>
      </c>
      <c r="I1651" s="2875"/>
      <c r="J1651" s="2913" t="str">
        <f>'Part VIII Scoring Criteria'!J160</f>
        <v>No</v>
      </c>
      <c r="K1651" s="2913"/>
      <c r="L1651" s="2913" t="str">
        <f>'Part VIII Scoring Criteria'!L160</f>
        <v>Yes</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See Tab 29 for Quality Education Area details. Both the Cook Primary School and Cook County Middle School recieved BTO in 2019 have an average year-over-year positive change in CCRPI score between 2015 and 2019 and average score for that time period is above the DCA threshold. The two schools serve grades between Kindergarten and 12th grade per the 2022 QAP and serve a combined seven grade levels, therefore the development is eligible for 1.5 points.</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6</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4</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6784</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4063</v>
      </c>
      <c r="S1662" s="2679"/>
      <c r="T1662" s="2679"/>
      <c r="U1662" s="2679"/>
    </row>
    <row r="1663" spans="1:21" s="2980" customFormat="1" ht="12" customHeight="1">
      <c r="B1663" s="3058" t="s">
        <v>2241</v>
      </c>
      <c r="C1663" s="3046" t="s">
        <v>6688</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Page 7</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Page 31</v>
      </c>
      <c r="N1665" s="3219"/>
      <c r="O1665" s="3219"/>
      <c r="P1665" s="3219"/>
      <c r="S1665" s="2679"/>
      <c r="T1665" s="2679"/>
      <c r="U1665" s="2679"/>
    </row>
    <row r="1666" spans="1:22" s="2550" customFormat="1" ht="12.75" customHeight="1">
      <c r="B1666" s="3064" t="s">
        <v>2243</v>
      </c>
      <c r="C1666" s="474" t="s">
        <v>6181</v>
      </c>
      <c r="D1666" s="474"/>
      <c r="E1666" s="474"/>
      <c r="F1666" s="474"/>
      <c r="G1666" s="474"/>
      <c r="H1666" s="474"/>
      <c r="L1666" s="3064" t="s">
        <v>2243</v>
      </c>
      <c r="M1666" s="3219" t="str">
        <f>'Part VIII Scoring Criteria'!M175</f>
        <v>Pages 8 - 17</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6182</v>
      </c>
      <c r="D1667" s="474"/>
      <c r="E1667" s="474"/>
      <c r="F1667" s="474"/>
      <c r="G1667" s="474"/>
      <c r="L1667" s="3064" t="s">
        <v>2244</v>
      </c>
      <c r="M1667" s="3219" t="str">
        <f>'Part VIII Scoring Criteria'!M176</f>
        <v>Pages 21 - 30, 32 and 34</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6785</v>
      </c>
      <c r="D1670" s="3046"/>
      <c r="E1670" s="3053"/>
      <c r="F1670" s="3053"/>
      <c r="G1670" s="3053"/>
      <c r="H1670" s="3053"/>
      <c r="I1670" s="3053"/>
      <c r="J1670" s="3053"/>
      <c r="K1670" s="3053"/>
      <c r="L1670" s="3053"/>
      <c r="M1670" s="2522">
        <v>1</v>
      </c>
      <c r="N1670" s="3058" t="s">
        <v>4081</v>
      </c>
      <c r="O1670" s="3218">
        <f>'Part VIII Scoring Criteria'!O179</f>
        <v>1</v>
      </c>
      <c r="P1670" s="3160"/>
      <c r="Q1670" s="3104" t="str">
        <f>IF(OR($O1670=$M1670,$O1670=0,$O1670=""),"","*CHECK!*")</f>
        <v/>
      </c>
      <c r="R1670" s="2694" t="s">
        <v>4063</v>
      </c>
    </row>
    <row r="1671" spans="1:22" s="652" customFormat="1">
      <c r="A1671" s="3064"/>
      <c r="B1671" s="3058" t="s">
        <v>2242</v>
      </c>
      <c r="C1671" s="3046" t="s">
        <v>6786</v>
      </c>
      <c r="D1671" s="3046"/>
      <c r="E1671" s="3053"/>
      <c r="F1671" s="3053"/>
      <c r="G1671" s="3053"/>
      <c r="H1671" s="3053"/>
      <c r="I1671" s="3053"/>
      <c r="J1671" s="3053"/>
      <c r="K1671" s="3053"/>
      <c r="L1671" s="3053"/>
      <c r="M1671" s="2522">
        <v>1</v>
      </c>
      <c r="N1671" s="3058" t="s">
        <v>6267</v>
      </c>
      <c r="O1671" s="3222">
        <f>'Part VIII Scoring Criteria'!O180</f>
        <v>1</v>
      </c>
      <c r="P1671" s="3223"/>
      <c r="Q1671" s="3104" t="str">
        <f>IF(OR($O1671=$M1671,$O1671=0,$O1671=""),"","*CHECK!*")</f>
        <v/>
      </c>
      <c r="R1671" s="2694" t="s">
        <v>4063</v>
      </c>
    </row>
    <row r="1672" spans="1:22" s="652" customFormat="1" ht="12" customHeight="1">
      <c r="A1672" s="3064"/>
      <c r="B1672" s="3089" t="s">
        <v>2243</v>
      </c>
      <c r="C1672" s="3006" t="s">
        <v>6787</v>
      </c>
      <c r="D1672" s="3046"/>
      <c r="E1672" s="3046"/>
      <c r="F1672" s="3046"/>
      <c r="G1672" s="3046"/>
      <c r="H1672" s="3046"/>
      <c r="I1672" s="3046"/>
      <c r="J1672" s="3046"/>
      <c r="K1672" s="3046"/>
      <c r="L1672" s="3046"/>
      <c r="M1672" s="2917">
        <v>1</v>
      </c>
      <c r="N1672" s="3064" t="s">
        <v>6268</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4063</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 xml:space="preserve">The Community Revitalization Plan clearly delineates Targeted Area within a Local Government boundary that includes the proposed site. This plan also discusses housing as a goal, an assessment of the Targeted Area's existing infrastructiure, and designates implementation measures. Third Party capital improvements include GDOT project 0016257 Val Del Road Improvement. Total funding amount is $2,007,500 with approximately $421,575 of the total within one half mile of the proposed site. Additional road improvement investments as part of the LMIG resurfacing program of $408,660.50, Cook County investment of $10,000 toward the updating and renovation of the local Department of Family Children Service Building, $8,500 in improvements to the 11th Street water well and $165,000 for the Legacy Behavior Health Services. Total Third Party Capital Investment within one half mile of the proposed Cypress Reserve Location is $1,013,735.50. Please see Tab 30 for support documentation for third party capital investment.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6788</v>
      </c>
      <c r="D1683" s="2550"/>
      <c r="G1683" s="3112"/>
      <c r="O1683" s="2976"/>
      <c r="P1683" s="2976"/>
      <c r="Q1683" s="2847"/>
    </row>
    <row r="1684" spans="1:24" s="3228" customFormat="1" ht="12.75" customHeight="1">
      <c r="B1684" s="3196" t="s">
        <v>1845</v>
      </c>
      <c r="C1684" s="3046" t="s">
        <v>6214</v>
      </c>
      <c r="D1684" s="3053"/>
      <c r="E1684" s="3053"/>
      <c r="F1684" s="3053"/>
      <c r="G1684" s="3053"/>
      <c r="H1684" s="3053"/>
      <c r="I1684" s="3053"/>
      <c r="J1684" s="3053"/>
      <c r="K1684" s="3053"/>
      <c r="L1684" s="3053"/>
      <c r="M1684" s="3067" t="s">
        <v>698</v>
      </c>
      <c r="N1684" s="3156" t="s">
        <v>1845</v>
      </c>
      <c r="O1684" s="3078" t="str">
        <f>'Part VIII Scoring Criteria'!O193</f>
        <v>Yes</v>
      </c>
      <c r="P1684" s="3059"/>
      <c r="Q1684" s="3229"/>
      <c r="V1684" s="3230"/>
      <c r="W1684" s="3230"/>
    </row>
    <row r="1685" spans="1:24" s="2550" customFormat="1" ht="12.75" customHeight="1">
      <c r="A1685" s="3064"/>
      <c r="B1685" s="3196" t="s">
        <v>1847</v>
      </c>
      <c r="C1685" s="2923" t="s">
        <v>6215</v>
      </c>
      <c r="D1685" s="3011"/>
      <c r="E1685" s="3011"/>
      <c r="F1685" s="3011"/>
      <c r="G1685" s="3011"/>
      <c r="H1685" s="3011"/>
      <c r="I1685" s="3011"/>
      <c r="J1685" s="3011"/>
      <c r="K1685" s="3011"/>
      <c r="L1685" s="3011"/>
      <c r="M1685" s="3011"/>
      <c r="N1685" s="3156" t="s">
        <v>1847</v>
      </c>
      <c r="O1685" s="3066" t="str">
        <f>'Part VIII Scoring Criteria'!O194</f>
        <v>Yes</v>
      </c>
      <c r="P1685" s="2976"/>
      <c r="Q1685" s="2906"/>
      <c r="V1685" s="3231"/>
      <c r="W1685" s="3231"/>
    </row>
    <row r="1686" spans="1:24" s="2550" customFormat="1" ht="18.75">
      <c r="A1686" s="3064"/>
      <c r="B1686" s="3196" t="s">
        <v>2333</v>
      </c>
      <c r="C1686" s="3046" t="s">
        <v>6218</v>
      </c>
      <c r="D1686" s="3053"/>
      <c r="E1686" s="3053"/>
      <c r="F1686" s="3053"/>
      <c r="G1686" s="3053"/>
      <c r="H1686" s="3053"/>
      <c r="I1686" s="3053"/>
      <c r="J1686" s="3053"/>
      <c r="K1686" s="3053"/>
      <c r="L1686" s="3053"/>
      <c r="M1686" s="3053"/>
      <c r="N1686" s="3156" t="s">
        <v>2333</v>
      </c>
      <c r="O1686" s="3078" t="str">
        <f>'Part VIII Scoring Criteria'!O195</f>
        <v>Yes</v>
      </c>
      <c r="P1686" s="3059"/>
      <c r="Q1686" s="2906"/>
      <c r="V1686" s="3231"/>
      <c r="W1686" s="3231"/>
    </row>
    <row r="1687" spans="1:24" s="652" customFormat="1" ht="11.45" customHeight="1">
      <c r="A1687" s="2950" t="s">
        <v>1963</v>
      </c>
      <c r="B1687" s="2135" t="s">
        <v>6216</v>
      </c>
      <c r="C1687" s="2755"/>
      <c r="D1687" s="2550"/>
      <c r="G1687" s="3112"/>
      <c r="O1687" s="2976"/>
      <c r="P1687" s="2976"/>
      <c r="Q1687" s="2847"/>
    </row>
    <row r="1688" spans="1:24" s="3228" customFormat="1" ht="12.75" customHeight="1">
      <c r="B1688" s="3196" t="s">
        <v>1845</v>
      </c>
      <c r="C1688" s="3046" t="s">
        <v>6789</v>
      </c>
      <c r="D1688" s="3053"/>
      <c r="E1688" s="3053"/>
      <c r="F1688" s="3053"/>
      <c r="G1688" s="3053"/>
      <c r="H1688" s="3053"/>
      <c r="I1688" s="3053"/>
      <c r="J1688" s="3053"/>
      <c r="K1688" s="3053"/>
      <c r="L1688" s="3053"/>
      <c r="M1688" s="3067" t="s">
        <v>1963</v>
      </c>
      <c r="N1688" s="3156" t="s">
        <v>1845</v>
      </c>
      <c r="O1688" s="3078" t="str">
        <f>'Part VIII Scoring Criteria'!O197</f>
        <v>Yes</v>
      </c>
      <c r="P1688" s="3059"/>
      <c r="Q1688" s="3229"/>
      <c r="V1688" s="3230"/>
      <c r="W1688" s="3230"/>
    </row>
    <row r="1689" spans="1:24" s="2550" customFormat="1" ht="12.75" customHeight="1">
      <c r="A1689" s="3064"/>
      <c r="B1689" s="3196" t="s">
        <v>1847</v>
      </c>
      <c r="C1689" s="3046" t="s">
        <v>6790</v>
      </c>
      <c r="D1689" s="3053"/>
      <c r="E1689" s="3053"/>
      <c r="F1689" s="3053"/>
      <c r="G1689" s="3053"/>
      <c r="H1689" s="3053"/>
      <c r="I1689" s="3053"/>
      <c r="J1689" s="3053"/>
      <c r="K1689" s="3053"/>
      <c r="L1689" s="3053"/>
      <c r="M1689" s="3011"/>
      <c r="N1689" s="3156" t="s">
        <v>1847</v>
      </c>
      <c r="O1689" s="3078" t="str">
        <f>'Part VIII Scoring Criteria'!O198</f>
        <v>Yes</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165.75">
      <c r="A1691" s="2744" t="str">
        <f>'Part VIII Scoring Criteria'!A200</f>
        <v>Applicant is claiming points in this section. Please see Tab 31 for community transformation rubric, plan certificate and support documentation.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0</v>
      </c>
      <c r="P1697" s="3012"/>
      <c r="Q1697" s="3104" t="str">
        <f>IF(O1697&lt;=M1697,"","*CHECK!*")</f>
        <v/>
      </c>
      <c r="R1697" s="2694" t="s">
        <v>4063</v>
      </c>
      <c r="S1697" s="3232"/>
      <c r="T1697" s="3232"/>
      <c r="U1697" s="3232"/>
    </row>
    <row r="1698" spans="1:37" ht="12.75" customHeight="1">
      <c r="B1698" s="3235"/>
      <c r="C1698" s="2971" t="s">
        <v>6261</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6262</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6220</v>
      </c>
      <c r="C1701" s="474"/>
      <c r="K1701" s="3064"/>
      <c r="L1701" s="3064"/>
      <c r="M1701" s="2917">
        <v>5</v>
      </c>
      <c r="N1701" s="3064" t="s">
        <v>1844</v>
      </c>
      <c r="O1701" s="3173">
        <f>'Part VIII Scoring Criteria'!O210</f>
        <v>0</v>
      </c>
      <c r="P1701" s="3012"/>
      <c r="Q1701" s="3104" t="str">
        <f>IF(O1701&lt;=M1701,"","*CHECK!*")</f>
        <v/>
      </c>
      <c r="R1701" s="2694" t="s">
        <v>4063</v>
      </c>
      <c r="S1701" s="3232"/>
      <c r="T1701" s="3232"/>
      <c r="U1701" s="3232"/>
    </row>
    <row r="1702" spans="1:37">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56.25">
      <c r="A1710" s="3049" t="str">
        <f>'Part VIII Scoring Criteria'!A219</f>
        <v xml:space="preserve">Applicant is not requesting points in this section. </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3156</v>
      </c>
      <c r="H1716" s="3073">
        <f>IF('Part V-Revenues &amp; Expenses'!$P$67=0,0,'Part V-Revenues &amp; Expenses'!$P$64/'Part V-Revenues &amp; Expenses'!$P$67)</f>
        <v>0</v>
      </c>
      <c r="J1716" s="3112" t="s">
        <v>3964</v>
      </c>
      <c r="K1716" s="3074" t="str">
        <f>'Part V-Revenues &amp; Expenses'!$O$53</f>
        <v>Income Averaging</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0</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1</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56.25">
      <c r="A1728" s="3049" t="str">
        <f>'Part VIII Scoring Criteria'!A237</f>
        <v xml:space="preserve">Applicant is not requesting points in this section </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6263</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6264</v>
      </c>
      <c r="E1734" s="2923" t="s">
        <v>3312</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1847</v>
      </c>
      <c r="C1735" s="2971" t="s">
        <v>6265</v>
      </c>
      <c r="E1735" s="2923" t="s">
        <v>3312</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56.25">
      <c r="A1738" s="3049" t="str">
        <f>'Part VIII Scoring Criteria'!A247</f>
        <v xml:space="preserve">Applicant is not requesting points in this section. </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6272</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6791</v>
      </c>
      <c r="M1743" s="2917">
        <v>5</v>
      </c>
      <c r="N1743" s="3064" t="s">
        <v>1842</v>
      </c>
      <c r="O1743" s="3173">
        <f>'Part VIII Scoring Criteria'!O252</f>
        <v>5</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6273</v>
      </c>
      <c r="M1744" s="2917">
        <v>3</v>
      </c>
      <c r="N1744" s="3064" t="s">
        <v>1844</v>
      </c>
      <c r="O1744" s="3173">
        <f>'Part VIII Scoring Criteria'!O253</f>
        <v>0</v>
      </c>
      <c r="P1744" s="3012"/>
      <c r="Q1744" s="3200" t="str">
        <f t="shared" ref="Q1744:Q1745" si="464">IF(OR($O1744=$M1744,$O1744=$M1744-1,$O1744=0,$O1744=""),"","*CHECK!*")</f>
        <v/>
      </c>
      <c r="R1744" s="2694" t="s">
        <v>4063</v>
      </c>
    </row>
    <row r="1745" spans="1:21" s="652" customFormat="1">
      <c r="A1745" s="2950" t="s">
        <v>698</v>
      </c>
      <c r="B1745" s="2135" t="s">
        <v>6274</v>
      </c>
      <c r="E1745" s="2923" t="s">
        <v>6236</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225">
      <c r="A1747" s="3049" t="str">
        <f>'Part VIII Scoring Criteria'!A256</f>
        <v xml:space="preserve">The project is within a current Local Government Boundary that has not been awarded an allocation of 9% Credits within the last 15 + DCA Housing Credit Application Rounds. </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6618</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6619</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6620</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6578</v>
      </c>
      <c r="D1764" s="2967"/>
      <c r="E1764" s="2967"/>
      <c r="G1764" s="3256"/>
      <c r="H1764" s="2692"/>
      <c r="I1764" s="2847" t="s">
        <v>6145</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6579</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6580</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56.25">
      <c r="A1771" s="3049" t="str">
        <f>'Part VIII Scoring Criteria'!A280</f>
        <v xml:space="preserve">Applicant is not claiming points in this section. </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6586</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6707</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6588</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6584</v>
      </c>
      <c r="C1785" s="2755"/>
      <c r="D1785" s="3046"/>
      <c r="E1785" s="3046"/>
      <c r="F1785" s="2755"/>
      <c r="G1785" s="3046" t="s">
        <v>6592</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6593</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6594</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6585</v>
      </c>
      <c r="C1788" s="2755"/>
      <c r="D1788" s="3061"/>
      <c r="G1788" s="1024" t="s">
        <v>6595</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6596</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6597</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6703</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6598</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6599</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315">
      <c r="A1796" s="3049" t="str">
        <f>'Part VIII Scoring Criteria'!A305</f>
        <v xml:space="preserve">The Applicant commits to engage QB's in the development or operation of the proposed property in amounts equal to approximately 5% of total construction hard costs, and will submit a report with the Final Allocation Application describing these efforts.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6590</v>
      </c>
      <c r="D1801" s="3061"/>
      <c r="E1801" s="3061" t="s">
        <v>6601</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6591</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57.5">
      <c r="A1804" s="3049" t="str">
        <f>'Part VIII Scoring Criteria'!A313</f>
        <v>Applicant agrees to contract with a third party to provide enriched property services in line with the requirements of the 2022 QAP.</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t="str">
        <f>'Part VIII Scoring Criteria'!O318</f>
        <v>No</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t="str">
        <f>'Part VIII Scoring Criteria'!O320</f>
        <v>Yes</v>
      </c>
      <c r="P1811" s="2976"/>
      <c r="R1811" s="3168"/>
    </row>
    <row r="1812" spans="1:21" s="3106" customFormat="1" ht="10.5" customHeight="1">
      <c r="A1812" s="2917"/>
      <c r="B1812" s="3187"/>
      <c r="C1812" s="474" t="s">
        <v>6581</v>
      </c>
      <c r="D1812" s="2550"/>
      <c r="N1812" s="3187" t="s">
        <v>3846</v>
      </c>
      <c r="O1812" s="3066" t="str">
        <f>'Part VIII Scoring Criteria'!O321</f>
        <v>No</v>
      </c>
      <c r="P1812" s="2976"/>
      <c r="R1812" s="3168"/>
    </row>
    <row r="1813" spans="1:21" s="3106" customFormat="1" ht="10.5" customHeight="1">
      <c r="A1813" s="2917"/>
      <c r="B1813" s="3187" t="s">
        <v>1847</v>
      </c>
      <c r="C1813" s="474" t="s">
        <v>3351</v>
      </c>
      <c r="D1813" s="2550"/>
      <c r="N1813" s="3187" t="s">
        <v>1847</v>
      </c>
      <c r="O1813" s="3066" t="str">
        <f>'Part VIII Scoring Criteria'!O322</f>
        <v>Yes</v>
      </c>
      <c r="P1813" s="2976"/>
      <c r="R1813" s="3168"/>
    </row>
    <row r="1814" spans="1:21" s="3106" customFormat="1" ht="10.5" customHeight="1">
      <c r="A1814" s="2917"/>
      <c r="B1814" s="3187" t="s">
        <v>2333</v>
      </c>
      <c r="C1814" s="474" t="s">
        <v>3847</v>
      </c>
      <c r="D1814" s="2550"/>
      <c r="N1814" s="3187" t="s">
        <v>2333</v>
      </c>
      <c r="O1814" s="3066" t="str">
        <f>'Part VIII Scoring Criteria'!O323</f>
        <v>Yes</v>
      </c>
      <c r="P1814" s="2976"/>
      <c r="R1814" s="3168"/>
    </row>
    <row r="1815" spans="1:21" s="3106" customFormat="1" ht="10.5" customHeight="1">
      <c r="A1815" s="3220"/>
      <c r="B1815" s="3187" t="s">
        <v>1151</v>
      </c>
      <c r="C1815" s="474" t="s">
        <v>3352</v>
      </c>
      <c r="D1815" s="2550"/>
      <c r="N1815" s="3187" t="s">
        <v>1151</v>
      </c>
      <c r="O1815" s="3066" t="str">
        <f>'Part VIII Scoring Criteria'!O324</f>
        <v>Yes</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6582</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2</v>
      </c>
      <c r="P1824" s="3012">
        <f>'Part VIII Scoring Criteria'!P333</f>
        <v>0</v>
      </c>
      <c r="Q1824" s="2910" t="s">
        <v>416</v>
      </c>
      <c r="R1824" s="2741" t="s">
        <v>4063</v>
      </c>
      <c r="S1824" s="2741"/>
    </row>
    <row r="1825" spans="1:20" s="3093" customFormat="1" ht="11.25" customHeight="1">
      <c r="A1825" s="2950"/>
      <c r="B1825" s="2923" t="s">
        <v>3157</v>
      </c>
      <c r="D1825" s="3006"/>
      <c r="E1825" s="3006"/>
      <c r="G1825" s="474"/>
      <c r="I1825" s="2913" t="str">
        <f>'Part VIII Scoring Criteria'!I334</f>
        <v>City of Adel</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Please see Tab 41 of the Application for the GICH support letter signed by the primary contact and the government agreement for the issuance of the GICH letter signed by the Mayor</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1</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t="str">
        <f>'Part VIII Scoring Criteria'!O344</f>
        <v>Yes</v>
      </c>
      <c r="P1835" s="2976"/>
      <c r="R1835" s="3053"/>
      <c r="S1835" s="3053"/>
    </row>
    <row r="1836" spans="1:20" s="1024" customFormat="1" ht="12.75" customHeight="1">
      <c r="B1836" s="3064" t="s">
        <v>2243</v>
      </c>
      <c r="C1836" s="474" t="s">
        <v>3276</v>
      </c>
      <c r="L1836" s="3053"/>
      <c r="M1836" s="3053"/>
      <c r="N1836" s="3064" t="s">
        <v>2243</v>
      </c>
      <c r="O1836" s="3066" t="str">
        <f>'Part VIII Scoring Criteria'!O345</f>
        <v>Yes</v>
      </c>
      <c r="P1836" s="2976"/>
      <c r="R1836" s="3053"/>
      <c r="S1836" s="3053"/>
    </row>
    <row r="1837" spans="1:20" s="1024" customFormat="1" ht="11.25">
      <c r="B1837" s="3058" t="s">
        <v>2244</v>
      </c>
      <c r="C1837" s="3046" t="s">
        <v>6602</v>
      </c>
      <c r="D1837" s="3053"/>
      <c r="E1837" s="3053"/>
      <c r="F1837" s="3053"/>
      <c r="G1837" s="3053"/>
      <c r="H1837" s="3053"/>
      <c r="I1837" s="3053"/>
      <c r="J1837" s="3053"/>
      <c r="K1837" s="3053"/>
      <c r="L1837" s="3053"/>
      <c r="M1837" s="3053"/>
      <c r="N1837" s="3058" t="s">
        <v>2244</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1</v>
      </c>
      <c r="P1839" s="3012">
        <f>'Part VIII Scoring Criteria'!P348</f>
        <v>0</v>
      </c>
      <c r="Q1839" s="3200" t="str">
        <f>IF(O1839&lt;=M1839,"","*CHECK!*")</f>
        <v/>
      </c>
      <c r="R1839" s="2681" t="s">
        <v>4063</v>
      </c>
      <c r="S1839" s="2681"/>
      <c r="T1839" s="2745"/>
    </row>
    <row r="1840" spans="1:20" s="652" customFormat="1" ht="12.75" customHeight="1">
      <c r="A1840" s="3274"/>
      <c r="B1840" s="3242" t="s">
        <v>6719</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6792</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3159</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6239</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3158</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6813</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3160</v>
      </c>
      <c r="C1851" s="474" t="s">
        <v>3830</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6240</v>
      </c>
      <c r="C1852" s="474" t="s">
        <v>6901</v>
      </c>
      <c r="I1852" s="3064" t="s">
        <v>6240</v>
      </c>
      <c r="J1852" s="2999">
        <f>'Part VIII Scoring Criteria'!J361</f>
        <v>600000</v>
      </c>
      <c r="K1852" s="2999"/>
      <c r="L1852" s="3064" t="s">
        <v>6240</v>
      </c>
      <c r="M1852" s="2989"/>
      <c r="N1852" s="2989"/>
      <c r="O1852" s="2989"/>
      <c r="P1852" s="2989"/>
      <c r="R1852" s="3168"/>
    </row>
    <row r="1853" spans="1:20" s="652" customFormat="1" ht="12.75" customHeight="1">
      <c r="B1853" s="3277" t="s">
        <v>6814</v>
      </c>
      <c r="H1853" s="2923" t="s">
        <v>2414</v>
      </c>
      <c r="J1853" s="2989">
        <f>SUM(J1842:K1852)</f>
        <v>600000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6242</v>
      </c>
      <c r="H1855" s="652"/>
      <c r="I1855" s="652"/>
      <c r="J1855" s="2989">
        <f>'Part V-Revenues &amp; Expenses'!$P$67</f>
        <v>50</v>
      </c>
      <c r="K1855" s="2989"/>
      <c r="L1855" s="2692"/>
      <c r="M1855" s="2681"/>
      <c r="N1855" s="2681"/>
      <c r="O1855" s="3278"/>
      <c r="P1855" s="2681"/>
    </row>
    <row r="1856" spans="1:20" s="652" customFormat="1" ht="13.5" customHeight="1">
      <c r="C1856" s="2849"/>
      <c r="D1856" s="2849"/>
      <c r="E1856" s="2849"/>
      <c r="F1856" s="3112" t="s">
        <v>6243</v>
      </c>
      <c r="J1856" s="3279">
        <f>IF(J1855=0,0,J1853/J1855)</f>
        <v>12000</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1</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3161</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6607</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3831</v>
      </c>
      <c r="N1862" s="3187" t="s">
        <v>2333</v>
      </c>
      <c r="O1862" s="3066">
        <f>'Part VIII Scoring Criteria'!O371</f>
        <v>0</v>
      </c>
      <c r="P1862" s="2976"/>
    </row>
    <row r="1863" spans="1:22" s="652" customFormat="1" ht="12" customHeight="1">
      <c r="B1863" s="2967" t="s">
        <v>3243</v>
      </c>
      <c r="N1863" s="2671"/>
      <c r="O1863" s="2671"/>
      <c r="P1863" s="2671"/>
    </row>
    <row r="1864" spans="1:22" s="3093" customFormat="1" ht="409.5">
      <c r="A1864" s="3049" t="str">
        <f>'Part VIII Scoring Criteria'!A373</f>
        <v>Please see Tab 2 and 42 for the commitment for the Construction/Permanent Favorable Financing Loan from Central Bank of Kansas City offered as a result of their 2020 Capital Magnent Fund award from the CDFI Fund division of the United States Treasury Department. The proposed loan is for a minimum term of 10 years at or below long-term monthly AFR effective May 1, 2022 (2.63%).</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50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50</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67.5">
      <c r="A1883" s="3049" t="str">
        <f>'Part VIII Scoring Criteria'!A392</f>
        <v>Not applicable. Project is all new construction.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6610</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6612</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6613</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6614</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The proposed development has units without PBRA contracts, tenancy is Family and contains at least 10% of total units as 1 bedroom. The Applicant commits to accept DCA-administered PBRA at the proposed development for not more than 20% of overall units, if funding is available. Applicant has a controlling interest in the general partnership and has agreed to contract with DCA PBRA under a prior QAP.</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15">
      <c r="A1910" s="3049" t="str">
        <f>'Part VIII Scoring Criteria'!A419</f>
        <v>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15">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6138</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6139</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15">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71.5</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III. Application Completeness - Application is complete and Applicant believes that there are no missing or incomplete documents.
IV. Deeper Trageting / Rent / Income Restrictions - Applicant has selected income averaging and the overall property AMI is 58%.
XI. Mixed Income Developments - Applicant will make the income averaging minimum set-aside election, and does not include market rate units.
XV. Extended Affordability Commitment - Owner is willing to forgo the qualified contract cancellation option after the close of the compliance period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XVI. Exceptional Nonprofit - The Applicant is claiming points under this section. The Applicant did not recieve these points in the prior years competitive round and the nonprofit entity is the same entity that meets the requirements under the nonprofit set-aside. Cypress Reserve is the only application that the nonprofit is requesting in the 2022 9% funding round.
XX. Compliance - Applicant is in full compliance and should recieve the full 10 points.</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hyperlink ref="N1313" r:id="rId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2" zoomScaleNormal="100" workbookViewId="0">
      <selection activeCell="A66" sqref="A66:L6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Cypress Reserve, Adel, Cook County</v>
      </c>
      <c r="B2" s="3471"/>
      <c r="C2" s="3471"/>
      <c r="D2" s="3471"/>
      <c r="E2" s="3471"/>
      <c r="F2" s="3471"/>
      <c r="G2" s="3471"/>
      <c r="H2" s="3471"/>
      <c r="I2" s="3471"/>
      <c r="J2" s="3471"/>
      <c r="K2" s="3471"/>
      <c r="L2" s="3471"/>
      <c r="M2" s="3471"/>
      <c r="N2" s="3471"/>
      <c r="O2" s="3471"/>
      <c r="P2" s="3471"/>
      <c r="Q2" s="3472"/>
      <c r="S2" s="3589" t="str">
        <f>$A$2</f>
        <v>PART TWO - SOURCES OF FUNDS (Proposed)  -  2022-0 Cypress Reserve, Adel, Cook County</v>
      </c>
      <c r="T2" s="358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c r="F6" s="292" t="s">
        <v>6083</v>
      </c>
      <c r="G6" s="315"/>
      <c r="I6" s="3593"/>
      <c r="J6" s="3594"/>
      <c r="L6" s="1559"/>
      <c r="M6" s="292" t="s">
        <v>1438</v>
      </c>
      <c r="Q6" s="2108"/>
      <c r="S6" s="3536"/>
      <c r="T6" s="3537"/>
      <c r="Y6" s="2290"/>
      <c r="Z6" s="2246">
        <v>6</v>
      </c>
      <c r="AZ6" s="2212"/>
    </row>
    <row r="7" spans="1:52" s="291" customFormat="1" ht="16.5" customHeight="1">
      <c r="A7" s="495"/>
      <c r="B7" s="1543"/>
      <c r="C7" s="292" t="s">
        <v>3881</v>
      </c>
      <c r="D7" s="315"/>
      <c r="E7" s="1542"/>
      <c r="F7" s="292" t="s">
        <v>6084</v>
      </c>
      <c r="I7" s="3595"/>
      <c r="J7" s="3596"/>
      <c r="L7" s="1543"/>
      <c r="M7" s="292" t="s">
        <v>514</v>
      </c>
      <c r="P7" s="2108"/>
      <c r="Q7" s="2108"/>
      <c r="S7" s="3497"/>
      <c r="T7" s="3498"/>
      <c r="Y7" s="2290"/>
      <c r="Z7" s="2246">
        <v>7</v>
      </c>
      <c r="AZ7" s="2212"/>
    </row>
    <row r="8" spans="1:52" s="291" customFormat="1" ht="16.5" customHeight="1">
      <c r="A8" s="315"/>
      <c r="B8" s="1543"/>
      <c r="C8" s="292" t="s">
        <v>6668</v>
      </c>
      <c r="F8" s="291" t="s">
        <v>6671</v>
      </c>
      <c r="H8" s="3607" t="s">
        <v>3068</v>
      </c>
      <c r="I8" s="3608"/>
      <c r="J8" s="3609"/>
      <c r="L8" s="1543"/>
      <c r="M8" s="310" t="s">
        <v>6673</v>
      </c>
      <c r="P8" s="2108"/>
      <c r="Q8" s="2108"/>
      <c r="S8" s="3497"/>
      <c r="T8" s="3498"/>
      <c r="Y8" s="2290"/>
      <c r="Z8" s="2246">
        <v>8</v>
      </c>
      <c r="AZ8" s="2212"/>
    </row>
    <row r="9" spans="1:52" s="291" customFormat="1" ht="16.5" customHeight="1">
      <c r="A9" s="495"/>
      <c r="B9" s="1543"/>
      <c r="C9" s="291" t="s">
        <v>3303</v>
      </c>
      <c r="E9" s="1563"/>
      <c r="F9" s="3599" t="s">
        <v>6667</v>
      </c>
      <c r="G9" s="3600"/>
      <c r="H9" s="3597"/>
      <c r="I9" s="3597"/>
      <c r="J9" s="3598"/>
      <c r="L9" s="1543"/>
      <c r="M9" s="310" t="s">
        <v>3882</v>
      </c>
      <c r="Q9" s="2108"/>
      <c r="S9" s="3499"/>
      <c r="T9" s="3500"/>
      <c r="Y9" s="2290"/>
      <c r="Z9" s="2246">
        <v>9</v>
      </c>
      <c r="AZ9" s="2212"/>
    </row>
    <row r="10" spans="1:52" s="291" customFormat="1" ht="16.5" customHeight="1">
      <c r="A10" s="495"/>
      <c r="B10" s="1543"/>
      <c r="C10" s="292" t="s">
        <v>2395</v>
      </c>
      <c r="F10" s="3601" t="s">
        <v>3772</v>
      </c>
      <c r="G10" s="3602"/>
      <c r="H10" s="3602"/>
      <c r="I10" s="3602"/>
      <c r="J10" s="3603"/>
      <c r="L10" s="1543"/>
      <c r="M10" s="292" t="s">
        <v>3196</v>
      </c>
      <c r="P10" s="2108"/>
      <c r="Q10" s="2108"/>
      <c r="S10" s="3536"/>
      <c r="T10" s="3537"/>
      <c r="Y10" s="2290"/>
      <c r="Z10" s="2245">
        <v>10</v>
      </c>
      <c r="AZ10" s="2212"/>
    </row>
    <row r="11" spans="1:52" s="291" customFormat="1" ht="16.5" customHeight="1">
      <c r="A11" s="495"/>
      <c r="B11" s="1543"/>
      <c r="C11" s="292" t="s">
        <v>2396</v>
      </c>
      <c r="E11" s="1563"/>
      <c r="F11" s="3597" t="s">
        <v>6669</v>
      </c>
      <c r="G11" s="3597"/>
      <c r="H11" s="3597"/>
      <c r="I11" s="3597"/>
      <c r="J11" s="3598"/>
      <c r="L11" s="1543"/>
      <c r="M11" s="291" t="s">
        <v>2399</v>
      </c>
      <c r="S11" s="3497"/>
      <c r="T11" s="3498"/>
      <c r="Y11" s="2290"/>
      <c r="Z11" s="2246">
        <v>11</v>
      </c>
      <c r="AZ11" s="2212"/>
    </row>
    <row r="12" spans="1:52" s="291" customFormat="1" ht="16.5" customHeight="1">
      <c r="A12" s="495"/>
      <c r="B12" s="2097"/>
      <c r="C12" s="310" t="s">
        <v>3197</v>
      </c>
      <c r="F12" s="3590" t="s">
        <v>3773</v>
      </c>
      <c r="G12" s="3591"/>
      <c r="H12" s="3610"/>
      <c r="I12" s="3610"/>
      <c r="J12" s="3611"/>
      <c r="L12" s="1543"/>
      <c r="M12" s="291" t="s">
        <v>3223</v>
      </c>
      <c r="S12" s="3497"/>
      <c r="T12" s="3498"/>
      <c r="Y12" s="2290"/>
      <c r="Z12" s="2246">
        <v>12</v>
      </c>
      <c r="AZ12" s="2212"/>
    </row>
    <row r="13" spans="1:52" s="291" customFormat="1" ht="16.5" customHeight="1">
      <c r="A13" s="495"/>
      <c r="B13" s="2097"/>
      <c r="C13" s="310" t="s">
        <v>6670</v>
      </c>
      <c r="E13" s="1559"/>
      <c r="F13" s="310" t="s">
        <v>6672</v>
      </c>
      <c r="H13" s="3590" t="s">
        <v>3294</v>
      </c>
      <c r="I13" s="3591"/>
      <c r="J13" s="3592"/>
      <c r="L13" s="2097"/>
      <c r="M13" s="291" t="s">
        <v>6082</v>
      </c>
      <c r="S13" s="3497"/>
      <c r="T13" s="3498"/>
      <c r="Y13" s="2290"/>
      <c r="Z13" s="2246">
        <v>13</v>
      </c>
      <c r="AZ13" s="2212"/>
    </row>
    <row r="14" spans="1:52" s="291" customFormat="1" ht="16.5" customHeight="1">
      <c r="A14" s="495"/>
      <c r="B14" s="1543"/>
      <c r="C14" s="291" t="s">
        <v>2398</v>
      </c>
      <c r="E14" s="2097"/>
      <c r="F14" s="310" t="s">
        <v>3302</v>
      </c>
      <c r="L14" s="2097"/>
      <c r="M14" s="291" t="s">
        <v>6717</v>
      </c>
      <c r="S14" s="3499"/>
      <c r="T14" s="3500"/>
      <c r="Y14" s="2290"/>
      <c r="Z14" s="2246">
        <v>14</v>
      </c>
      <c r="AZ14" s="2212"/>
    </row>
    <row r="15" spans="1:52" s="291" customFormat="1" ht="16.5" customHeight="1">
      <c r="A15" s="495"/>
      <c r="B15" s="1543"/>
      <c r="C15" s="291" t="s">
        <v>3222</v>
      </c>
      <c r="E15" s="2097"/>
      <c r="F15" s="310" t="s">
        <v>6085</v>
      </c>
      <c r="L15" s="2097" t="s">
        <v>2651</v>
      </c>
      <c r="M15" s="2109" t="s">
        <v>6086</v>
      </c>
      <c r="Y15" s="2290"/>
      <c r="Z15" s="2246">
        <v>15</v>
      </c>
      <c r="AZ15" s="2212"/>
    </row>
    <row r="16" spans="1:52" s="291" customFormat="1" ht="16.5" customHeight="1">
      <c r="A16" s="495"/>
      <c r="B16" s="1542"/>
      <c r="C16" s="292" t="s">
        <v>1674</v>
      </c>
      <c r="E16" s="2098"/>
      <c r="F16" s="292" t="s">
        <v>6504</v>
      </c>
      <c r="I16" s="3612"/>
      <c r="J16" s="3613"/>
      <c r="L16" s="2098"/>
      <c r="M16" s="2109" t="s">
        <v>6081</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615" t="s">
        <v>1221</v>
      </c>
      <c r="I21" s="3615"/>
      <c r="J21" s="3615"/>
      <c r="K21" s="3615"/>
      <c r="L21" s="3549" t="s">
        <v>3849</v>
      </c>
      <c r="M21" s="3549"/>
      <c r="N21" s="3549" t="s">
        <v>1411</v>
      </c>
      <c r="O21" s="3549"/>
      <c r="P21" s="3549" t="s">
        <v>1524</v>
      </c>
      <c r="Q21" s="3549"/>
      <c r="S21" s="3550" t="s">
        <v>2449</v>
      </c>
      <c r="T21" s="3550"/>
      <c r="Y21" s="2290"/>
      <c r="Z21" s="2246">
        <v>21</v>
      </c>
      <c r="AZ21" s="2212" t="s">
        <v>6347</v>
      </c>
    </row>
    <row r="22" spans="1:52" s="291" customFormat="1" ht="15.75" customHeight="1">
      <c r="A22" s="315"/>
      <c r="B22" s="3553" t="s">
        <v>1487</v>
      </c>
      <c r="C22" s="3554"/>
      <c r="D22" s="3554"/>
      <c r="E22" s="1042"/>
      <c r="F22" s="1042"/>
      <c r="G22" s="1042"/>
      <c r="H22" s="3522" t="s">
        <v>6982</v>
      </c>
      <c r="I22" s="3523"/>
      <c r="J22" s="3523"/>
      <c r="K22" s="3524"/>
      <c r="L22" s="3572">
        <v>8966590</v>
      </c>
      <c r="M22" s="3573"/>
      <c r="N22" s="3574">
        <v>5.5E-2</v>
      </c>
      <c r="O22" s="3575"/>
      <c r="P22" s="3576">
        <v>24</v>
      </c>
      <c r="Q22" s="3577"/>
      <c r="S22" s="3536"/>
      <c r="T22" s="3537"/>
      <c r="Y22" s="2290" t="s">
        <v>6347</v>
      </c>
      <c r="Z22" s="2246">
        <v>22</v>
      </c>
      <c r="AZ22" s="2212" t="s">
        <v>6348</v>
      </c>
    </row>
    <row r="23" spans="1:52" s="291" customFormat="1" ht="15.75" customHeight="1">
      <c r="A23" s="315"/>
      <c r="B23" s="3538" t="s">
        <v>1488</v>
      </c>
      <c r="C23" s="3539"/>
      <c r="D23" s="3539"/>
      <c r="E23" s="1041"/>
      <c r="F23" s="1041"/>
      <c r="G23" s="1041"/>
      <c r="H23" s="3484" t="s">
        <v>6983</v>
      </c>
      <c r="I23" s="3485"/>
      <c r="J23" s="3485"/>
      <c r="K23" s="3486"/>
      <c r="L23" s="3560">
        <v>600000</v>
      </c>
      <c r="M23" s="3561"/>
      <c r="N23" s="3583">
        <v>2.63E-2</v>
      </c>
      <c r="O23" s="3584"/>
      <c r="P23" s="3585">
        <v>24</v>
      </c>
      <c r="Q23" s="3586"/>
      <c r="S23" s="3497"/>
      <c r="T23" s="3498"/>
      <c r="Y23" s="2290" t="s">
        <v>6348</v>
      </c>
      <c r="Z23" s="2246">
        <v>23</v>
      </c>
      <c r="AZ23" s="2212" t="s">
        <v>6349</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6349</v>
      </c>
      <c r="Z24" s="2246">
        <v>24</v>
      </c>
      <c r="AZ24" s="2212" t="s">
        <v>6350</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7"/>
      <c r="T25" s="3498"/>
      <c r="Y25" s="2290" t="s">
        <v>6350</v>
      </c>
      <c r="Z25" s="2246">
        <v>25</v>
      </c>
      <c r="AZ25" s="2212" t="s">
        <v>6351</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6351</v>
      </c>
      <c r="Z26" s="2245">
        <v>26</v>
      </c>
      <c r="AZ26" s="2212" t="s">
        <v>6352</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6352</v>
      </c>
      <c r="Z27" s="2246">
        <v>27</v>
      </c>
      <c r="AZ27" s="2212" t="s">
        <v>6353</v>
      </c>
    </row>
    <row r="28" spans="1:52" s="291" customFormat="1" ht="15.75" customHeight="1">
      <c r="A28" s="315"/>
      <c r="B28" s="3538" t="s">
        <v>746</v>
      </c>
      <c r="C28" s="3539"/>
      <c r="D28" s="3539"/>
      <c r="E28" s="1041"/>
      <c r="H28" s="3484" t="s">
        <v>6947</v>
      </c>
      <c r="I28" s="3485"/>
      <c r="J28" s="3485"/>
      <c r="K28" s="3486"/>
      <c r="L28" s="3560">
        <v>1741730</v>
      </c>
      <c r="M28" s="3561"/>
      <c r="N28" s="315"/>
      <c r="Q28" s="315"/>
      <c r="S28" s="3499"/>
      <c r="T28" s="3500"/>
      <c r="Y28" s="2290" t="s">
        <v>6353</v>
      </c>
      <c r="Z28" s="2246">
        <v>28</v>
      </c>
      <c r="AZ28" s="2212" t="s">
        <v>6354</v>
      </c>
    </row>
    <row r="29" spans="1:52" s="291" customFormat="1" ht="15.75" customHeight="1">
      <c r="A29" s="315"/>
      <c r="B29" s="3538" t="s">
        <v>747</v>
      </c>
      <c r="C29" s="3539"/>
      <c r="D29" s="3539"/>
      <c r="E29" s="1041"/>
      <c r="H29" s="3484" t="s">
        <v>6947</v>
      </c>
      <c r="I29" s="3485"/>
      <c r="J29" s="3485"/>
      <c r="K29" s="3486"/>
      <c r="L29" s="3560">
        <v>824896</v>
      </c>
      <c r="M29" s="3561"/>
      <c r="N29" s="315"/>
      <c r="Q29" s="315"/>
      <c r="S29" s="3536"/>
      <c r="T29" s="3537"/>
      <c r="Y29" s="2290" t="s">
        <v>6354</v>
      </c>
      <c r="Z29" s="2246">
        <v>29</v>
      </c>
      <c r="AZ29" s="2212" t="s">
        <v>6355</v>
      </c>
    </row>
    <row r="30" spans="1:52" s="291" customFormat="1" ht="15.75" customHeight="1">
      <c r="A30" s="315"/>
      <c r="B30" s="1040" t="s">
        <v>232</v>
      </c>
      <c r="C30" s="1041"/>
      <c r="D30" s="3512" t="s">
        <v>6958</v>
      </c>
      <c r="E30" s="3512"/>
      <c r="F30" s="3512"/>
      <c r="G30" s="3512"/>
      <c r="H30" s="3484"/>
      <c r="I30" s="3485"/>
      <c r="J30" s="3485"/>
      <c r="K30" s="3486"/>
      <c r="L30" s="3560">
        <v>110</v>
      </c>
      <c r="M30" s="3561"/>
      <c r="N30" s="315"/>
      <c r="Q30" s="315"/>
      <c r="S30" s="3497"/>
      <c r="T30" s="3498"/>
      <c r="Y30" s="2290" t="s">
        <v>6355</v>
      </c>
      <c r="Z30" s="2246">
        <v>30</v>
      </c>
      <c r="AZ30" s="2212" t="s">
        <v>6356</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6356</v>
      </c>
      <c r="Z31" s="2246">
        <v>31</v>
      </c>
      <c r="AZ31" s="2212" t="s">
        <v>6357</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6357</v>
      </c>
      <c r="Z32" s="2246">
        <v>32</v>
      </c>
      <c r="AZ32" s="2212"/>
    </row>
    <row r="33" spans="1:52" s="291" customFormat="1" ht="16.5" customHeight="1">
      <c r="A33" s="315"/>
      <c r="B33" s="290" t="s">
        <v>1222</v>
      </c>
      <c r="C33" s="315"/>
      <c r="D33" s="315"/>
      <c r="E33" s="315"/>
      <c r="F33" s="315"/>
      <c r="G33" s="315"/>
      <c r="H33" s="315"/>
      <c r="I33" s="315"/>
      <c r="L33" s="3566">
        <f>SUM(L22:L32)</f>
        <v>12133326</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12133326</v>
      </c>
      <c r="M34" s="3569"/>
      <c r="N34" s="839"/>
      <c r="S34" s="3497"/>
      <c r="T34" s="3498"/>
      <c r="Y34" s="2290"/>
      <c r="Z34" s="2246">
        <v>34</v>
      </c>
      <c r="AZ34" s="2212"/>
    </row>
    <row r="35" spans="1:52" s="291" customFormat="1" ht="16.5" customHeight="1">
      <c r="A35" s="315"/>
      <c r="B35" s="320" t="s">
        <v>2003</v>
      </c>
      <c r="C35" s="315"/>
      <c r="D35" s="315"/>
      <c r="E35" s="315"/>
      <c r="F35" s="315"/>
      <c r="G35" s="315"/>
      <c r="H35" s="315"/>
      <c r="I35" s="315"/>
      <c r="L35" s="3570">
        <f>L33-L34</f>
        <v>0</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35" customHeight="1">
      <c r="A39" s="315"/>
      <c r="B39" s="1049" t="s">
        <v>1734</v>
      </c>
      <c r="C39" s="1048"/>
      <c r="D39" s="1048"/>
      <c r="E39" s="3548" t="s">
        <v>1221</v>
      </c>
      <c r="F39" s="3548"/>
      <c r="G39" s="3548"/>
      <c r="H39" s="3548"/>
      <c r="I39" s="3549" t="s">
        <v>3848</v>
      </c>
      <c r="J39" s="3549"/>
      <c r="K39" s="1035" t="s">
        <v>1676</v>
      </c>
      <c r="L39" s="1035" t="s">
        <v>2047</v>
      </c>
      <c r="M39" s="1035" t="s">
        <v>2047</v>
      </c>
      <c r="N39" s="3549" t="s">
        <v>69</v>
      </c>
      <c r="O39" s="3549"/>
      <c r="P39" s="3547"/>
      <c r="Q39" s="3547"/>
      <c r="S39" s="3550" t="s">
        <v>2449</v>
      </c>
      <c r="T39" s="3550"/>
      <c r="Y39" s="2290"/>
      <c r="Z39" s="2246">
        <v>39</v>
      </c>
      <c r="AZ39" s="2212" t="s">
        <v>6358</v>
      </c>
    </row>
    <row r="40" spans="1:52" s="291" customFormat="1" ht="15" customHeight="1">
      <c r="A40" s="315"/>
      <c r="B40" s="3553" t="s">
        <v>2403</v>
      </c>
      <c r="C40" s="3554"/>
      <c r="D40" s="3554"/>
      <c r="E40" s="3522" t="s">
        <v>6983</v>
      </c>
      <c r="F40" s="3523"/>
      <c r="G40" s="3523"/>
      <c r="H40" s="3524"/>
      <c r="I40" s="3517">
        <v>600000</v>
      </c>
      <c r="J40" s="3518"/>
      <c r="K40" s="836">
        <v>2.63E-2</v>
      </c>
      <c r="L40" s="1043">
        <v>10</v>
      </c>
      <c r="M40" s="1043">
        <v>10</v>
      </c>
      <c r="N40" s="3555" t="s">
        <v>6907</v>
      </c>
      <c r="O40" s="3555"/>
      <c r="P40" s="3516">
        <f>IF(OR(I40&lt;=0,I40=""),"",IF(N40="Cash Flow",0,IF(N40="Amortizing",-PMT(K40/12,M40*12,I40,0,0)*12,"")))</f>
        <v>68300.795837009136</v>
      </c>
      <c r="Q40" s="3516"/>
      <c r="S40" s="3536"/>
      <c r="T40" s="3537"/>
      <c r="Y40" s="2290" t="s">
        <v>6358</v>
      </c>
      <c r="Z40" s="2246">
        <v>40</v>
      </c>
      <c r="AZ40" s="2212" t="s">
        <v>6359</v>
      </c>
    </row>
    <row r="41" spans="1:52" s="291" customFormat="1" ht="15" customHeight="1">
      <c r="A41" s="315"/>
      <c r="B41" s="3538" t="s">
        <v>2404</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6359</v>
      </c>
      <c r="Z41" s="2246">
        <v>41</v>
      </c>
      <c r="AZ41" s="2212" t="s">
        <v>6360</v>
      </c>
    </row>
    <row r="42" spans="1:52" s="291" customFormat="1" ht="15" customHeight="1">
      <c r="A42" s="315"/>
      <c r="B42" s="3538" t="s">
        <v>2405</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6360</v>
      </c>
      <c r="Z42" s="2246">
        <v>42</v>
      </c>
      <c r="AZ42" s="2212" t="s">
        <v>6361</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6361</v>
      </c>
      <c r="Z43" s="2246">
        <v>43</v>
      </c>
      <c r="AZ43" s="2212" t="s">
        <v>6362</v>
      </c>
    </row>
    <row r="44" spans="1:52" s="291" customFormat="1" ht="15" customHeight="1">
      <c r="A44" s="315"/>
      <c r="B44" s="1040" t="s">
        <v>3948</v>
      </c>
      <c r="C44" s="1041"/>
      <c r="D44" s="1045"/>
      <c r="E44" s="3484"/>
      <c r="F44" s="3485"/>
      <c r="G44" s="3485"/>
      <c r="H44" s="3486"/>
      <c r="I44" s="3487"/>
      <c r="J44" s="3533"/>
      <c r="K44" s="476"/>
      <c r="L44" s="1039"/>
      <c r="M44" s="1039"/>
      <c r="N44" s="3535"/>
      <c r="O44" s="3535"/>
      <c r="P44" s="3534"/>
      <c r="Q44" s="3534"/>
      <c r="S44" s="3497"/>
      <c r="T44" s="3498"/>
      <c r="Y44" s="2290" t="s">
        <v>6362</v>
      </c>
      <c r="Z44" s="2245">
        <v>44</v>
      </c>
      <c r="AZ44" s="2212" t="s">
        <v>6363</v>
      </c>
    </row>
    <row r="45" spans="1:52" s="291" customFormat="1" ht="24.75" customHeight="1">
      <c r="A45" s="315"/>
      <c r="B45" s="1047" t="s">
        <v>220</v>
      </c>
      <c r="C45" s="1048"/>
      <c r="D45" s="391">
        <f>IF(OR(I45="",I45=0,'Part III-A-Uses of Funds'!$G$127="",'Part III-A-Uses of Funds'!$G$127=0),"",I45/'Part III-A-Uses of Funds'!$G$127)</f>
        <v>2.9154716981132076E-2</v>
      </c>
      <c r="E45" s="3502" t="s">
        <v>6949</v>
      </c>
      <c r="F45" s="3503"/>
      <c r="G45" s="3503"/>
      <c r="H45" s="3504"/>
      <c r="I45" s="3556">
        <v>38630</v>
      </c>
      <c r="J45" s="3557"/>
      <c r="K45" s="835">
        <v>0</v>
      </c>
      <c r="L45" s="834">
        <v>15</v>
      </c>
      <c r="M45" s="834"/>
      <c r="N45" s="3369"/>
      <c r="O45" s="3370"/>
      <c r="P45" s="3558" t="str">
        <f>IF(OR(I45&lt;=0,I45=""),"",IF(N45="Cash Flow",0,IF(N45="Amortizing",-PMT(K45/12,M45*12,I45,0,0)*12,"")))</f>
        <v/>
      </c>
      <c r="Q45" s="3559"/>
      <c r="S45" s="3497"/>
      <c r="T45" s="3498"/>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3408</v>
      </c>
      <c r="C47" s="1217"/>
      <c r="E47" s="291" t="s">
        <v>3366</v>
      </c>
      <c r="F47" s="3491">
        <f>IF(OR($I$45="",$I$45=0,'Part VI-Pro Forma'!$S$35=0,'Part VI-Pro Forma'!$S$35=""),"",VLOOKUP($L$45,'Part VI-Pro Forma'!$Q$21:$S$40,3))</f>
        <v>200037.16463947113</v>
      </c>
      <c r="G47" s="3492"/>
      <c r="H47" s="628" t="s">
        <v>3407</v>
      </c>
      <c r="I47" s="3491">
        <f>IF(OR($I$45="",$I$45=0,'Part VI-Pro Forma'!$R$35=0,'Part VI-Pro Forma'!$R$35=""),"",VLOOKUP($L$45,'Part VI-Pro Forma'!$Q$21:$S$35,2))</f>
        <v>38630</v>
      </c>
      <c r="J47" s="3492"/>
      <c r="K47" s="628" t="s">
        <v>3409</v>
      </c>
      <c r="L47" s="3514">
        <f>IF(OR($F$47 = 0,$F$47 =""),"",$I$47/$F$47)</f>
        <v>0.19311411491771149</v>
      </c>
      <c r="M47" s="3515"/>
      <c r="N47" s="3495" t="s">
        <v>3852</v>
      </c>
      <c r="O47" s="3496"/>
      <c r="P47" s="3493">
        <f>IF(OR($I$62=0,$I$60&gt;$I$61),0,ABS($I$60-$I$61))</f>
        <v>0</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6364</v>
      </c>
    </row>
    <row r="49" spans="1:52" s="291" customFormat="1" ht="15" customHeight="1">
      <c r="A49" s="315"/>
      <c r="B49" s="3519" t="s">
        <v>2048</v>
      </c>
      <c r="C49" s="3520"/>
      <c r="D49" s="3521"/>
      <c r="E49" s="3522"/>
      <c r="F49" s="3523"/>
      <c r="G49" s="3523"/>
      <c r="H49" s="3524"/>
      <c r="I49" s="3525"/>
      <c r="J49" s="3526"/>
      <c r="K49" s="392"/>
      <c r="L49" s="392"/>
      <c r="M49" s="392"/>
      <c r="N49" s="392"/>
      <c r="O49" s="392"/>
      <c r="P49" s="423" t="s">
        <v>483</v>
      </c>
      <c r="Q49" s="392"/>
      <c r="S49" s="3536"/>
      <c r="T49" s="3537"/>
      <c r="Y49" s="2290" t="s">
        <v>6364</v>
      </c>
      <c r="Z49" s="2246">
        <v>49</v>
      </c>
      <c r="AZ49" s="2212" t="s">
        <v>6365</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2358</v>
      </c>
      <c r="Q50" s="392"/>
      <c r="S50" s="3497"/>
      <c r="T50" s="3498"/>
      <c r="Y50" s="2290" t="s">
        <v>6365</v>
      </c>
      <c r="Z50" s="2246">
        <v>50</v>
      </c>
      <c r="AZ50" s="2212" t="s">
        <v>6366</v>
      </c>
    </row>
    <row r="51" spans="1:52" s="291" customFormat="1" ht="15" customHeight="1">
      <c r="A51" s="315"/>
      <c r="B51" s="3538" t="s">
        <v>746</v>
      </c>
      <c r="C51" s="3539"/>
      <c r="D51" s="3540"/>
      <c r="E51" s="3484" t="s">
        <v>6947</v>
      </c>
      <c r="F51" s="3485"/>
      <c r="G51" s="3485"/>
      <c r="H51" s="3486"/>
      <c r="I51" s="3487">
        <v>8708645</v>
      </c>
      <c r="J51" s="3487"/>
      <c r="L51" s="3543">
        <f>'Part III-A-Uses of Funds'!$J$191*10*'Part III-A-Uses of Funds'!$N$182</f>
        <v>8797500</v>
      </c>
      <c r="M51" s="3543"/>
      <c r="N51" s="3544">
        <f>I51-L51</f>
        <v>-88855</v>
      </c>
      <c r="O51" s="3544"/>
      <c r="P51" s="425">
        <f>I51/I61</f>
        <v>0.6464322669623942</v>
      </c>
      <c r="Q51" s="392"/>
      <c r="S51" s="3497"/>
      <c r="T51" s="3498"/>
      <c r="Y51" s="2290" t="s">
        <v>6366</v>
      </c>
      <c r="Z51" s="2245">
        <v>51</v>
      </c>
      <c r="AZ51" s="2212" t="s">
        <v>6367</v>
      </c>
    </row>
    <row r="52" spans="1:52" s="291" customFormat="1" ht="15" customHeight="1">
      <c r="A52" s="315"/>
      <c r="B52" s="3538" t="s">
        <v>747</v>
      </c>
      <c r="C52" s="3539"/>
      <c r="D52" s="3540"/>
      <c r="E52" s="3484" t="s">
        <v>6947</v>
      </c>
      <c r="F52" s="3485"/>
      <c r="G52" s="3485"/>
      <c r="H52" s="3486"/>
      <c r="I52" s="3487">
        <v>4124475</v>
      </c>
      <c r="J52" s="3487"/>
      <c r="L52" s="3543">
        <f>'Part III-A-Uses of Funds'!$J$191*10*'Part III-A-Uses of Funds'!$Q$182</f>
        <v>4036500</v>
      </c>
      <c r="M52" s="3543"/>
      <c r="N52" s="3544">
        <f>I52-L52</f>
        <v>87975</v>
      </c>
      <c r="O52" s="3544"/>
      <c r="P52" s="425">
        <f>I52/I61</f>
        <v>0.3061548293999492</v>
      </c>
      <c r="Q52" s="392"/>
      <c r="S52" s="3497"/>
      <c r="T52" s="3498"/>
      <c r="Y52" s="2290" t="s">
        <v>6367</v>
      </c>
      <c r="Z52" s="2246">
        <v>52</v>
      </c>
      <c r="AZ52" s="2212" t="s">
        <v>6368</v>
      </c>
    </row>
    <row r="53" spans="1:52" s="291" customFormat="1" ht="15" customHeight="1">
      <c r="A53" s="315"/>
      <c r="B53" s="3538" t="s">
        <v>1332</v>
      </c>
      <c r="C53" s="3539"/>
      <c r="D53" s="3540"/>
      <c r="E53" s="3484"/>
      <c r="F53" s="3485"/>
      <c r="G53" s="3485"/>
      <c r="H53" s="3486"/>
      <c r="I53" s="3487"/>
      <c r="J53" s="3487"/>
      <c r="P53" s="426">
        <f>SUM(P51:P52)</f>
        <v>0.9525870963623434</v>
      </c>
      <c r="Q53" s="392"/>
      <c r="S53" s="3499"/>
      <c r="T53" s="3500"/>
      <c r="Y53" s="2290" t="s">
        <v>6368</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1732</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1733</v>
      </c>
      <c r="C56" s="1041"/>
      <c r="D56" s="1045"/>
      <c r="E56" s="3484"/>
      <c r="F56" s="3485"/>
      <c r="G56" s="3485"/>
      <c r="H56" s="3486"/>
      <c r="I56" s="3487"/>
      <c r="J56" s="3487"/>
      <c r="M56" s="393"/>
      <c r="N56" s="393"/>
      <c r="O56" s="393"/>
      <c r="P56" s="393"/>
      <c r="Q56" s="392"/>
      <c r="S56" s="3497"/>
      <c r="T56" s="3498"/>
      <c r="Y56" s="2290"/>
      <c r="Z56" s="2246">
        <v>56</v>
      </c>
      <c r="AZ56" s="2212" t="s">
        <v>6369</v>
      </c>
    </row>
    <row r="57" spans="1:52" s="291" customFormat="1" ht="15" customHeight="1">
      <c r="A57" s="315"/>
      <c r="B57" s="1040" t="s">
        <v>690</v>
      </c>
      <c r="C57" s="3512" t="s">
        <v>6959</v>
      </c>
      <c r="D57" s="3512"/>
      <c r="E57" s="3484"/>
      <c r="F57" s="3485"/>
      <c r="G57" s="3485"/>
      <c r="H57" s="3486"/>
      <c r="I57" s="3487">
        <v>110</v>
      </c>
      <c r="J57" s="3487"/>
      <c r="M57" s="393"/>
      <c r="N57" s="393"/>
      <c r="O57" s="393"/>
      <c r="P57" s="393"/>
      <c r="Q57" s="392"/>
      <c r="S57" s="3497"/>
      <c r="T57" s="3498"/>
      <c r="Y57" s="2290" t="s">
        <v>6369</v>
      </c>
      <c r="Z57" s="2246">
        <v>57</v>
      </c>
      <c r="AZ57" s="2212" t="s">
        <v>6370</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6370</v>
      </c>
      <c r="Z58" s="2246">
        <v>58</v>
      </c>
      <c r="AZ58" s="2212" t="s">
        <v>6371</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6371</v>
      </c>
      <c r="Z59" s="2246">
        <v>59</v>
      </c>
      <c r="AZ59" s="2212"/>
    </row>
    <row r="60" spans="1:52" s="291" customFormat="1" ht="14.25" customHeight="1">
      <c r="A60" s="315"/>
      <c r="B60" s="1034" t="s">
        <v>2049</v>
      </c>
      <c r="C60" s="315"/>
      <c r="D60" s="315"/>
      <c r="E60" s="315"/>
      <c r="F60" s="315"/>
      <c r="G60" s="315"/>
      <c r="I60" s="3506">
        <f>SUM(I40:J45)+SUM(I49:J59)</f>
        <v>13471860</v>
      </c>
      <c r="J60" s="3507"/>
      <c r="K60" s="315"/>
      <c r="L60" s="394"/>
      <c r="M60" s="393"/>
      <c r="N60" s="393"/>
      <c r="O60" s="393"/>
      <c r="P60" s="393"/>
      <c r="Q60" s="392"/>
      <c r="S60" s="3497"/>
      <c r="T60" s="3498"/>
      <c r="Y60" s="2290"/>
      <c r="Z60" s="2245">
        <v>60</v>
      </c>
      <c r="AZ60" s="2212"/>
    </row>
    <row r="61" spans="1:52" s="291" customFormat="1" ht="14.25" customHeight="1" thickBot="1">
      <c r="A61" s="315"/>
      <c r="B61" s="1034" t="s">
        <v>2050</v>
      </c>
      <c r="C61" s="315"/>
      <c r="D61" s="315"/>
      <c r="E61" s="315"/>
      <c r="F61" s="315"/>
      <c r="G61" s="315"/>
      <c r="I61" s="3508">
        <f>'Part III-A-Uses of Funds'!$G$146</f>
        <v>13471860</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v>
      </c>
      <c r="J62" s="3511"/>
      <c r="K62" s="315"/>
      <c r="L62" s="394"/>
      <c r="M62" s="393"/>
      <c r="N62" s="393"/>
      <c r="O62" s="393"/>
      <c r="P62" s="393"/>
      <c r="Q62" s="392"/>
      <c r="S62" s="3499"/>
      <c r="T62" s="3500"/>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t="s">
        <v>6984</v>
      </c>
      <c r="B66" s="3490"/>
      <c r="C66" s="3490"/>
      <c r="D66" s="3490"/>
      <c r="E66" s="3490"/>
      <c r="F66" s="3490"/>
      <c r="G66" s="3490"/>
      <c r="H66" s="3490"/>
      <c r="I66" s="3490"/>
      <c r="J66" s="3490"/>
      <c r="K66" s="3490"/>
      <c r="L66" s="3490"/>
      <c r="M66" s="3489"/>
      <c r="N66" s="3489"/>
      <c r="O66" s="3489"/>
      <c r="P66" s="3489"/>
      <c r="Q66" s="3489"/>
      <c r="S66" s="3488" t="s">
        <v>2453</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2285</v>
      </c>
      <c r="B16" s="221" t="s">
        <v>2282</v>
      </c>
      <c r="C16" s="221" t="s">
        <v>2283</v>
      </c>
      <c r="D16" s="3626" t="s">
        <v>2083</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2276</v>
      </c>
      <c r="B51" s="3628"/>
      <c r="C51" s="3628"/>
      <c r="D51" s="3628"/>
      <c r="E51" s="3628"/>
      <c r="F51" s="3628"/>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158" zoomScaleNormal="100" workbookViewId="0">
      <selection activeCell="T179" sqref="T17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Cypress Reserve, Adel, Cook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Cypress Reserve, Adel, Cook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v>10000</v>
      </c>
      <c r="H9" s="3573"/>
      <c r="J9" s="3572">
        <v>10000</v>
      </c>
      <c r="K9" s="3573"/>
      <c r="L9" s="1050"/>
      <c r="M9" s="3572"/>
      <c r="N9" s="3573"/>
      <c r="P9" s="3572"/>
      <c r="Q9" s="3573"/>
      <c r="S9" s="3572"/>
      <c r="T9" s="3573"/>
      <c r="V9" s="1082"/>
      <c r="W9" s="3689"/>
      <c r="X9" s="3690"/>
      <c r="AZ9" s="2661"/>
      <c r="BA9" s="2246">
        <v>9</v>
      </c>
    </row>
    <row r="10" spans="1:53" s="315" customFormat="1" ht="11.25" customHeight="1">
      <c r="B10" s="315" t="s">
        <v>431</v>
      </c>
      <c r="G10" s="3560">
        <v>8000</v>
      </c>
      <c r="H10" s="3561"/>
      <c r="J10" s="3560">
        <v>8000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12000</v>
      </c>
      <c r="H11" s="3561"/>
      <c r="J11" s="3560">
        <v>12000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10000</v>
      </c>
      <c r="H12" s="3561"/>
      <c r="J12" s="3560">
        <v>10000</v>
      </c>
      <c r="K12" s="3561"/>
      <c r="L12" s="1050"/>
      <c r="M12" s="3560"/>
      <c r="N12" s="3561"/>
      <c r="P12" s="3560"/>
      <c r="Q12" s="3561"/>
      <c r="S12" s="3560"/>
      <c r="T12" s="3561"/>
      <c r="V12" s="1082"/>
      <c r="W12" s="3689"/>
      <c r="X12" s="3690"/>
      <c r="AZ12" s="2661"/>
      <c r="BA12" s="2246">
        <v>12</v>
      </c>
    </row>
    <row r="13" spans="1:53" s="315" customFormat="1" ht="11.25" customHeight="1">
      <c r="B13" s="315" t="s">
        <v>2302</v>
      </c>
      <c r="G13" s="3560">
        <v>12500</v>
      </c>
      <c r="H13" s="3561"/>
      <c r="J13" s="3560">
        <v>12500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6278</v>
      </c>
      <c r="C15" s="3758" t="s">
        <v>6726</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6372</v>
      </c>
      <c r="BA15" s="2246">
        <v>15</v>
      </c>
    </row>
    <row r="16" spans="1:53" s="315" customFormat="1" ht="11.25" customHeight="1">
      <c r="A16" s="396" t="str">
        <f>IF(AND(G16&gt;0,OR(C16="",C16="&lt;Enter detailed description here; use Comments section if needed&gt;")),"X","")</f>
        <v/>
      </c>
      <c r="B16" s="185" t="s">
        <v>6279</v>
      </c>
      <c r="C16" s="3758" t="s">
        <v>6726</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6373</v>
      </c>
      <c r="BA16" s="2246">
        <v>16</v>
      </c>
    </row>
    <row r="17" spans="1:53" s="315" customFormat="1" ht="11.25" customHeight="1" thickBot="1">
      <c r="A17" s="396" t="str">
        <f>IF(AND(G17&gt;0,OR(C17="",C17="&lt;Enter detailed description here; use Comments section if needed&gt;")),"X","")</f>
        <v/>
      </c>
      <c r="B17" s="185" t="s">
        <v>6280</v>
      </c>
      <c r="C17" s="3758" t="s">
        <v>6726</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6374</v>
      </c>
      <c r="BA17" s="2246">
        <v>17</v>
      </c>
    </row>
    <row r="18" spans="1:53" s="315" customFormat="1" ht="12.6" customHeight="1" thickTop="1">
      <c r="F18" s="371" t="s">
        <v>184</v>
      </c>
      <c r="G18" s="3675">
        <f>SUM(G9:G17)</f>
        <v>52500</v>
      </c>
      <c r="H18" s="3676"/>
      <c r="J18" s="3675">
        <f>SUM(J9:J17)</f>
        <v>52500</v>
      </c>
      <c r="K18" s="3676"/>
      <c r="L18" s="1050"/>
      <c r="M18" s="3675">
        <f>SUM(M9:M17)</f>
        <v>0</v>
      </c>
      <c r="N18" s="3676"/>
      <c r="P18" s="3675">
        <f>SUM(P9:P17)</f>
        <v>0</v>
      </c>
      <c r="Q18" s="3676"/>
      <c r="S18" s="3675">
        <f>SUM(S9:S17)</f>
        <v>0</v>
      </c>
      <c r="T18" s="3676"/>
      <c r="V18" s="1084">
        <f>SUM(V9:V17)</f>
        <v>0</v>
      </c>
      <c r="W18" s="3693"/>
      <c r="X18" s="3694"/>
      <c r="AZ18" s="2661" t="s">
        <v>6375</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3224</v>
      </c>
      <c r="F20" s="2569">
        <f>IF('Part I-Project Identification'!$O$31="","",G20/'Part I-Project Identification'!$O$31)</f>
        <v>87242.026266416506</v>
      </c>
      <c r="G20" s="3572">
        <v>465000</v>
      </c>
      <c r="H20" s="3573"/>
      <c r="J20" s="373"/>
      <c r="K20" s="370"/>
      <c r="L20" s="373"/>
      <c r="M20" s="373"/>
      <c r="N20" s="370"/>
      <c r="P20" s="373"/>
      <c r="Q20" s="370"/>
      <c r="S20" s="3572">
        <v>465000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6" customHeight="1" thickTop="1">
      <c r="F24" s="371" t="s">
        <v>184</v>
      </c>
      <c r="G24" s="3675">
        <f>SUM(G20:G23)</f>
        <v>465000</v>
      </c>
      <c r="H24" s="3676"/>
      <c r="J24" s="373"/>
      <c r="K24" s="370"/>
      <c r="L24" s="373"/>
      <c r="M24" s="3675">
        <f>SUM(M22:M23)</f>
        <v>0</v>
      </c>
      <c r="N24" s="3676"/>
      <c r="P24" s="373"/>
      <c r="Q24" s="370"/>
      <c r="S24" s="3675">
        <f>SUM(S20:S23)</f>
        <v>465000</v>
      </c>
      <c r="T24" s="3676"/>
      <c r="V24" s="1084">
        <f>SUM(V20:V23)</f>
        <v>0</v>
      </c>
      <c r="W24" s="3693"/>
      <c r="X24" s="3694"/>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286491.55722326454</v>
      </c>
      <c r="G26" s="3572">
        <v>1527000</v>
      </c>
      <c r="H26" s="3573"/>
      <c r="J26" s="3572">
        <v>1450650</v>
      </c>
      <c r="K26" s="3573"/>
      <c r="L26" s="1050"/>
      <c r="M26" s="3792"/>
      <c r="N26" s="3793"/>
      <c r="P26" s="3792"/>
      <c r="Q26" s="3793"/>
      <c r="S26" s="3572">
        <v>76350</v>
      </c>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1527000</v>
      </c>
      <c r="H28" s="3676"/>
      <c r="J28" s="3675">
        <f>SUM(J26:J27)</f>
        <v>1450650</v>
      </c>
      <c r="K28" s="3676"/>
      <c r="L28" s="373"/>
      <c r="M28" s="3675">
        <f>M26</f>
        <v>0</v>
      </c>
      <c r="N28" s="3676"/>
      <c r="P28" s="3675">
        <f>P26</f>
        <v>0</v>
      </c>
      <c r="Q28" s="3676"/>
      <c r="S28" s="3675">
        <f>SUM(S26:S27)</f>
        <v>76350</v>
      </c>
      <c r="T28" s="3676"/>
      <c r="V28" s="1084">
        <f>SUM(V26:V27)</f>
        <v>0</v>
      </c>
      <c r="W28" s="3693"/>
      <c r="X28" s="3694"/>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6964000</v>
      </c>
      <c r="H30" s="3573"/>
      <c r="J30" s="3572">
        <v>6964000</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6092</v>
      </c>
      <c r="G32" s="3560"/>
      <c r="H32" s="3561"/>
      <c r="J32" s="3560"/>
      <c r="K32" s="3561"/>
      <c r="L32" s="1050"/>
      <c r="M32" s="3560"/>
      <c r="N32" s="3561"/>
      <c r="P32" s="3560"/>
      <c r="Q32" s="3561"/>
      <c r="S32" s="3560"/>
      <c r="T32" s="3561"/>
      <c r="V32" s="1082"/>
      <c r="W32" s="3689"/>
      <c r="X32" s="3690"/>
      <c r="AZ32" s="2661"/>
      <c r="BA32" s="2246">
        <v>32</v>
      </c>
    </row>
    <row r="33" spans="1:53" s="315" customFormat="1" ht="11.25" customHeight="1">
      <c r="B33" s="315" t="s">
        <v>6090</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2496</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6091</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6964000</v>
      </c>
      <c r="H36" s="3676"/>
      <c r="J36" s="3675">
        <f>SUM(J30:J35)</f>
        <v>6964000</v>
      </c>
      <c r="K36" s="3676"/>
      <c r="L36" s="1050"/>
      <c r="M36" s="3675">
        <f>SUM(M30:M35)</f>
        <v>0</v>
      </c>
      <c r="N36" s="3676"/>
      <c r="P36" s="3675">
        <f>SUM(P30:P35)</f>
        <v>0</v>
      </c>
      <c r="Q36" s="3676"/>
      <c r="S36" s="3675">
        <f>SUM(S30:S35)</f>
        <v>0</v>
      </c>
      <c r="T36" s="3676"/>
      <c r="V36" s="1084">
        <f>SUM(V30:V35)</f>
        <v>0</v>
      </c>
      <c r="W36" s="3693"/>
      <c r="X36" s="3694"/>
      <c r="AZ36" s="2661" t="s">
        <v>6378</v>
      </c>
      <c r="BA36" s="2246">
        <v>36</v>
      </c>
    </row>
    <row r="37" spans="1:53" s="315" customFormat="1" ht="12" customHeight="1">
      <c r="B37" s="317" t="s">
        <v>2164</v>
      </c>
      <c r="D37" s="3787" t="s">
        <v>3228</v>
      </c>
      <c r="E37" s="3787"/>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509460</v>
      </c>
      <c r="F38" s="2633">
        <f>IF(($G$28+$G$36)=0,0,G38/($G$28+$G$36))</f>
        <v>0.06</v>
      </c>
      <c r="G38" s="3572">
        <v>509460</v>
      </c>
      <c r="H38" s="3573"/>
      <c r="I38" s="332"/>
      <c r="J38" s="3572">
        <v>509460</v>
      </c>
      <c r="K38" s="3573"/>
      <c r="L38" s="1050"/>
      <c r="M38" s="3572"/>
      <c r="N38" s="3573"/>
      <c r="P38" s="3572"/>
      <c r="Q38" s="3573"/>
      <c r="S38" s="3572"/>
      <c r="T38" s="3573"/>
      <c r="V38" s="1082"/>
      <c r="W38" s="3689"/>
      <c r="X38" s="3690"/>
      <c r="AZ38" s="2661"/>
      <c r="BA38" s="2245">
        <v>38</v>
      </c>
    </row>
    <row r="39" spans="1:53" s="315" customFormat="1" ht="11.25" customHeight="1">
      <c r="B39" s="315" t="s">
        <v>2476</v>
      </c>
      <c r="D39" s="2634">
        <f>'DCA Underwriting Assumptions'!$R$39</f>
        <v>0.02</v>
      </c>
      <c r="E39" s="2632">
        <f>ROUNDDOWN(D39*(G28+G36),0)</f>
        <v>169820</v>
      </c>
      <c r="F39" s="2633">
        <f>IF(($G$28+$G$36)=0,0,G39/($G$28+$G$36))</f>
        <v>0.02</v>
      </c>
      <c r="G39" s="3560">
        <v>169820</v>
      </c>
      <c r="H39" s="3561"/>
      <c r="I39" s="332"/>
      <c r="J39" s="3560">
        <v>169820</v>
      </c>
      <c r="K39" s="3561"/>
      <c r="L39" s="1050"/>
      <c r="M39" s="3560"/>
      <c r="N39" s="3561"/>
      <c r="P39" s="3560"/>
      <c r="Q39" s="3561"/>
      <c r="S39" s="3560"/>
      <c r="T39" s="3561"/>
      <c r="V39" s="1082"/>
      <c r="W39" s="3689"/>
      <c r="X39" s="3690"/>
      <c r="AZ39" s="2661"/>
      <c r="BA39" s="2246">
        <v>39</v>
      </c>
    </row>
    <row r="40" spans="1:53" s="315" customFormat="1" ht="11.25" customHeight="1" thickBot="1">
      <c r="B40" s="315" t="s">
        <v>2477</v>
      </c>
      <c r="D40" s="2635">
        <f>'DCA Underwriting Assumptions'!$R$40</f>
        <v>0.06</v>
      </c>
      <c r="E40" s="2636">
        <f>ROUNDDOWN(D40*(G28+G36),0)</f>
        <v>509460</v>
      </c>
      <c r="F40" s="2637">
        <f>IF(($G$28+$G$36)=0,0,G40/($G$28+$G$36))</f>
        <v>0.06</v>
      </c>
      <c r="G40" s="3761">
        <v>509460</v>
      </c>
      <c r="H40" s="3762"/>
      <c r="I40" s="332"/>
      <c r="J40" s="3761">
        <v>509460</v>
      </c>
      <c r="K40" s="3762"/>
      <c r="L40" s="1050"/>
      <c r="M40" s="3761"/>
      <c r="N40" s="3762"/>
      <c r="P40" s="3761"/>
      <c r="Q40" s="3762"/>
      <c r="S40" s="3761"/>
      <c r="T40" s="3762"/>
      <c r="V40" s="1082"/>
      <c r="W40" s="3691"/>
      <c r="X40" s="3692"/>
      <c r="AZ40" s="2661"/>
      <c r="BA40" s="2246">
        <v>40</v>
      </c>
    </row>
    <row r="41" spans="1:53" s="315" customFormat="1" ht="12.6" customHeight="1" thickTop="1">
      <c r="B41" s="185" t="s">
        <v>3229</v>
      </c>
      <c r="D41" s="965">
        <f>SUM(D38:D40)</f>
        <v>0.14000000000000001</v>
      </c>
      <c r="E41" s="966">
        <f>SUM(E38:E40)</f>
        <v>1188740</v>
      </c>
      <c r="F41" s="2630" t="s">
        <v>184</v>
      </c>
      <c r="G41" s="3675">
        <f>SUM(G38:G40)</f>
        <v>1188740</v>
      </c>
      <c r="H41" s="3676"/>
      <c r="J41" s="3675">
        <f>SUM(J38:J40)</f>
        <v>1188740</v>
      </c>
      <c r="K41" s="3676"/>
      <c r="L41" s="373"/>
      <c r="M41" s="3675">
        <f>SUM(M38:M40)</f>
        <v>0</v>
      </c>
      <c r="N41" s="3676"/>
      <c r="P41" s="3675">
        <f>SUM(P38:P40)</f>
        <v>0</v>
      </c>
      <c r="Q41" s="3676"/>
      <c r="S41" s="3675">
        <f>SUM(S38:S40)</f>
        <v>0</v>
      </c>
      <c r="T41" s="3676"/>
      <c r="V41" s="1084">
        <f>SUM(V38:V40)</f>
        <v>0</v>
      </c>
      <c r="W41" s="3693"/>
      <c r="X41" s="3694"/>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85">
        <f>G28+G36+G41</f>
        <v>9679740</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758" t="s">
        <v>6726</v>
      </c>
      <c r="D46" s="3783"/>
      <c r="E46" s="3783"/>
      <c r="F46" s="3784"/>
      <c r="G46" s="3779"/>
      <c r="H46" s="3780"/>
      <c r="I46" s="315"/>
      <c r="J46" s="3779"/>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6381</v>
      </c>
      <c r="BA47" s="2245">
        <v>47</v>
      </c>
    </row>
    <row r="48" spans="1:53" s="315" customFormat="1" ht="12.6" customHeight="1">
      <c r="B48" s="2201" t="s">
        <v>2481</v>
      </c>
      <c r="C48" s="2202"/>
      <c r="E48" s="3781" t="s">
        <v>2480</v>
      </c>
      <c r="F48" s="2203">
        <f>C49/'Part V-Revenues &amp; Expenses'!$P$65</f>
        <v>193594.8</v>
      </c>
      <c r="G48" s="2204" t="s">
        <v>2494</v>
      </c>
      <c r="H48" s="2205"/>
      <c r="I48" s="2205"/>
      <c r="J48" s="3666">
        <f>C49/'Part V-Revenues &amp; Expenses'!$P$67</f>
        <v>193594.8</v>
      </c>
      <c r="K48" s="3666"/>
      <c r="L48" s="2205"/>
      <c r="M48" s="3667" t="s">
        <v>6480</v>
      </c>
      <c r="N48" s="3667"/>
      <c r="O48" s="2205"/>
      <c r="P48" s="3666">
        <f>C49/'Part V-Revenues &amp; Expenses'!$K$175</f>
        <v>189.35328638497651</v>
      </c>
      <c r="Q48" s="3666"/>
      <c r="R48" s="2205"/>
      <c r="S48" s="3668" t="s">
        <v>6482</v>
      </c>
      <c r="T48" s="3669"/>
      <c r="V48" s="1085"/>
      <c r="W48" s="3699"/>
      <c r="X48" s="3700"/>
      <c r="AZ48" s="2661"/>
      <c r="BA48" s="2246">
        <v>48</v>
      </c>
    </row>
    <row r="49" spans="1:53" s="315" customFormat="1" ht="12.6" customHeight="1">
      <c r="B49" s="2254" t="s">
        <v>6493</v>
      </c>
      <c r="C49" s="2253">
        <f>G28+G36+G41+G46</f>
        <v>9679740</v>
      </c>
      <c r="E49" s="3782"/>
      <c r="F49" s="2206">
        <f>C49/'Part V-Revenues &amp; Expenses'!$P$166</f>
        <v>197.8687653311529</v>
      </c>
      <c r="G49" s="2207" t="s">
        <v>2495</v>
      </c>
      <c r="H49" s="2208"/>
      <c r="I49" s="2208"/>
      <c r="J49" s="3670">
        <f>C49/'Part V-Revenues &amp; Expenses'!$P$168</f>
        <v>197.8687653311529</v>
      </c>
      <c r="K49" s="3670"/>
      <c r="L49" s="2208"/>
      <c r="M49" s="3671" t="s">
        <v>6481</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2449</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483987</v>
      </c>
      <c r="F55" s="2310">
        <f>G55/C49</f>
        <v>0.05</v>
      </c>
      <c r="G55" s="3779">
        <v>483987</v>
      </c>
      <c r="H55" s="3780"/>
      <c r="I55" s="315"/>
      <c r="J55" s="3779">
        <v>483987</v>
      </c>
      <c r="K55" s="3780"/>
      <c r="L55" s="1050"/>
      <c r="M55" s="3779"/>
      <c r="N55" s="3780"/>
      <c r="O55" s="315"/>
      <c r="P55" s="3779"/>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6304</v>
      </c>
      <c r="C57" s="2202"/>
      <c r="E57" s="3664" t="s">
        <v>6305</v>
      </c>
      <c r="F57" s="2203">
        <f>B58/'Part V-Revenues &amp; Expenses'!$P$65</f>
        <v>203274.54</v>
      </c>
      <c r="G57" s="2204" t="s">
        <v>2494</v>
      </c>
      <c r="H57" s="2205"/>
      <c r="I57" s="2205"/>
      <c r="J57" s="3666">
        <f>B58/'Part V-Revenues &amp; Expenses'!$P$67</f>
        <v>203274.54</v>
      </c>
      <c r="K57" s="3666"/>
      <c r="L57" s="2205"/>
      <c r="M57" s="3667" t="s">
        <v>6480</v>
      </c>
      <c r="N57" s="3667"/>
      <c r="O57" s="2205"/>
      <c r="P57" s="3666">
        <f>B58/'Part V-Revenues &amp; Expenses'!$K$175</f>
        <v>198.82095070422534</v>
      </c>
      <c r="Q57" s="3666"/>
      <c r="R57" s="2205"/>
      <c r="S57" s="3668" t="s">
        <v>6482</v>
      </c>
      <c r="T57" s="3669"/>
      <c r="V57" s="1085"/>
      <c r="W57" s="3699"/>
      <c r="X57" s="3700"/>
      <c r="AZ57" s="2661"/>
      <c r="BA57" s="2246">
        <v>54</v>
      </c>
    </row>
    <row r="58" spans="1:53" s="315" customFormat="1" ht="12.6" customHeight="1">
      <c r="B58" s="3662">
        <f>C49+G55</f>
        <v>10163727</v>
      </c>
      <c r="C58" s="3663"/>
      <c r="E58" s="3665"/>
      <c r="F58" s="2206">
        <f>B58/'Part V-Revenues &amp; Expenses'!$P$166</f>
        <v>207.76220359771054</v>
      </c>
      <c r="G58" s="2207" t="s">
        <v>2495</v>
      </c>
      <c r="H58" s="2208"/>
      <c r="I58" s="2208"/>
      <c r="J58" s="3670">
        <f>B58/'Part V-Revenues &amp; Expenses'!$P$168</f>
        <v>207.76220359771054</v>
      </c>
      <c r="K58" s="3670"/>
      <c r="L58" s="2208"/>
      <c r="M58" s="3671" t="s">
        <v>6481</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3231</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v>95666</v>
      </c>
      <c r="H63" s="3561"/>
      <c r="J63" s="3560">
        <v>95666</v>
      </c>
      <c r="K63" s="3561"/>
      <c r="L63" s="1050"/>
      <c r="M63" s="3560"/>
      <c r="N63" s="3561"/>
      <c r="P63" s="3560"/>
      <c r="Q63" s="3561"/>
      <c r="S63" s="3560"/>
      <c r="T63" s="3561"/>
      <c r="V63" s="1086"/>
      <c r="W63" s="3689"/>
      <c r="X63" s="3690"/>
      <c r="AZ63" s="2661"/>
      <c r="BA63" s="2245">
        <v>63</v>
      </c>
    </row>
    <row r="64" spans="1:53" s="315" customFormat="1" ht="12" customHeight="1">
      <c r="B64" s="315" t="s">
        <v>2168</v>
      </c>
      <c r="G64" s="3560">
        <v>317404</v>
      </c>
      <c r="H64" s="3561"/>
      <c r="J64" s="3560">
        <v>309339</v>
      </c>
      <c r="K64" s="3561"/>
      <c r="L64" s="1050"/>
      <c r="M64" s="3560"/>
      <c r="N64" s="3561"/>
      <c r="P64" s="3560"/>
      <c r="Q64" s="3561"/>
      <c r="S64" s="3560">
        <v>8065</v>
      </c>
      <c r="T64" s="3561"/>
      <c r="V64" s="1086"/>
      <c r="W64" s="3689"/>
      <c r="X64" s="3690"/>
      <c r="AZ64" s="2661"/>
      <c r="BA64" s="2246">
        <v>64</v>
      </c>
    </row>
    <row r="65" spans="1:53" s="315" customFormat="1" ht="12" customHeight="1">
      <c r="B65" s="315" t="s">
        <v>2169</v>
      </c>
      <c r="G65" s="3560">
        <v>30000</v>
      </c>
      <c r="H65" s="3561"/>
      <c r="J65" s="3560">
        <v>15000</v>
      </c>
      <c r="K65" s="3561"/>
      <c r="L65" s="1050"/>
      <c r="M65" s="3560"/>
      <c r="N65" s="3561"/>
      <c r="P65" s="3560"/>
      <c r="Q65" s="3561"/>
      <c r="S65" s="3560">
        <v>15000</v>
      </c>
      <c r="T65" s="3561"/>
      <c r="V65" s="1086"/>
      <c r="W65" s="3689"/>
      <c r="X65" s="3690"/>
      <c r="AZ65" s="2661" t="s">
        <v>6382</v>
      </c>
      <c r="BA65" s="2246">
        <v>65</v>
      </c>
    </row>
    <row r="66" spans="1:53" s="315" customFormat="1" ht="12" customHeight="1">
      <c r="B66" s="315" t="s">
        <v>2451</v>
      </c>
      <c r="G66" s="3560">
        <v>12500</v>
      </c>
      <c r="H66" s="3561"/>
      <c r="J66" s="3560">
        <v>12500</v>
      </c>
      <c r="K66" s="3561"/>
      <c r="L66" s="1050"/>
      <c r="M66" s="3560"/>
      <c r="N66" s="3561"/>
      <c r="P66" s="3560"/>
      <c r="Q66" s="3561"/>
      <c r="S66" s="3560"/>
      <c r="T66" s="3561"/>
      <c r="V66" s="1086"/>
      <c r="W66" s="3689"/>
      <c r="X66" s="3690"/>
      <c r="AZ66" s="2661" t="s">
        <v>6383</v>
      </c>
      <c r="BA66" s="2246">
        <v>66</v>
      </c>
    </row>
    <row r="67" spans="1:53" s="315" customFormat="1" ht="12" customHeight="1">
      <c r="B67" s="315" t="s">
        <v>676</v>
      </c>
      <c r="G67" s="3560">
        <v>5000</v>
      </c>
      <c r="H67" s="3561"/>
      <c r="J67" s="3560">
        <v>5000</v>
      </c>
      <c r="K67" s="3561"/>
      <c r="L67" s="1050"/>
      <c r="M67" s="3560"/>
      <c r="N67" s="3561"/>
      <c r="P67" s="3560"/>
      <c r="Q67" s="3561"/>
      <c r="S67" s="3560"/>
      <c r="T67" s="3561"/>
      <c r="V67" s="1086"/>
      <c r="W67" s="3689"/>
      <c r="X67" s="3690"/>
      <c r="AZ67" s="2661" t="s">
        <v>6384</v>
      </c>
      <c r="BA67" s="2246">
        <v>67</v>
      </c>
    </row>
    <row r="68" spans="1:53" s="315" customFormat="1" ht="12" customHeight="1">
      <c r="B68" s="315" t="s">
        <v>2170</v>
      </c>
      <c r="G68" s="3560">
        <v>20000</v>
      </c>
      <c r="H68" s="3561"/>
      <c r="J68" s="3560">
        <v>20000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v>30000</v>
      </c>
      <c r="H69" s="3561"/>
      <c r="J69" s="3560">
        <v>30000</v>
      </c>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c r="H70" s="3561"/>
      <c r="I70" s="332"/>
      <c r="J70" s="3560"/>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6283</v>
      </c>
      <c r="C71" s="3775" t="s">
        <v>6726</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6284</v>
      </c>
      <c r="C72" s="3777" t="s">
        <v>6726</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510570</v>
      </c>
      <c r="H73" s="3676"/>
      <c r="J73" s="3675">
        <f>SUM(J61:J72)</f>
        <v>487505</v>
      </c>
      <c r="K73" s="3676"/>
      <c r="L73" s="373"/>
      <c r="M73" s="3675">
        <f>SUM(M61:M72)</f>
        <v>0</v>
      </c>
      <c r="N73" s="3676"/>
      <c r="P73" s="3675">
        <f>SUM(P61:P72)</f>
        <v>0</v>
      </c>
      <c r="Q73" s="3676"/>
      <c r="S73" s="3675">
        <f>SUM(S61:S72)</f>
        <v>23065</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150000</v>
      </c>
      <c r="H75" s="3573"/>
      <c r="J75" s="3572">
        <v>150000</v>
      </c>
      <c r="K75" s="3573"/>
      <c r="L75" s="1050"/>
      <c r="M75" s="3572"/>
      <c r="N75" s="3573"/>
      <c r="P75" s="3572"/>
      <c r="Q75" s="3573"/>
      <c r="S75" s="3572"/>
      <c r="T75" s="3573"/>
      <c r="V75" s="1082"/>
      <c r="W75" s="3689"/>
      <c r="X75" s="3690"/>
      <c r="AZ75" s="2661"/>
      <c r="BA75" s="2245">
        <v>75</v>
      </c>
    </row>
    <row r="76" spans="1:53" s="315" customFormat="1" ht="12" customHeight="1">
      <c r="B76" s="315" t="s">
        <v>451</v>
      </c>
      <c r="G76" s="3560">
        <v>25000</v>
      </c>
      <c r="H76" s="3561"/>
      <c r="J76" s="3560">
        <v>25000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20000</v>
      </c>
      <c r="H77" s="3561"/>
      <c r="J77" s="3560">
        <v>20000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15000</v>
      </c>
      <c r="H78" s="3561"/>
      <c r="J78" s="3560">
        <v>15000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15000</v>
      </c>
      <c r="H79" s="3561"/>
      <c r="J79" s="3560">
        <v>15000</v>
      </c>
      <c r="K79" s="3561"/>
      <c r="L79" s="1050"/>
      <c r="M79" s="3560"/>
      <c r="N79" s="3561"/>
      <c r="P79" s="3560"/>
      <c r="Q79" s="3561"/>
      <c r="S79" s="3560"/>
      <c r="T79" s="3561"/>
      <c r="V79" s="1082"/>
      <c r="W79" s="3689"/>
      <c r="X79" s="3690"/>
      <c r="AZ79" s="2661" t="s">
        <v>6385</v>
      </c>
      <c r="BA79" s="2246">
        <v>79</v>
      </c>
    </row>
    <row r="80" spans="1:53" s="315" customFormat="1" ht="12" customHeight="1">
      <c r="B80" s="315" t="s">
        <v>1065</v>
      </c>
      <c r="G80" s="3560">
        <v>36000</v>
      </c>
      <c r="H80" s="3561"/>
      <c r="J80" s="3560">
        <v>36000</v>
      </c>
      <c r="K80" s="3561"/>
      <c r="L80" s="1050"/>
      <c r="M80" s="3560"/>
      <c r="N80" s="3561"/>
      <c r="P80" s="3560"/>
      <c r="Q80" s="3561"/>
      <c r="S80" s="3560"/>
      <c r="T80" s="3561"/>
      <c r="V80" s="1082"/>
      <c r="W80" s="3689"/>
      <c r="X80" s="3690"/>
      <c r="AZ80" s="2661" t="s">
        <v>6386</v>
      </c>
      <c r="BA80" s="2246">
        <v>80</v>
      </c>
    </row>
    <row r="81" spans="1:53" s="315" customFormat="1" ht="12" customHeight="1">
      <c r="B81" s="315" t="s">
        <v>452</v>
      </c>
      <c r="G81" s="3560">
        <v>90000</v>
      </c>
      <c r="H81" s="3561"/>
      <c r="J81" s="3560">
        <v>90000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v>30000</v>
      </c>
      <c r="H82" s="3561"/>
      <c r="J82" s="3560">
        <v>15000</v>
      </c>
      <c r="K82" s="3561"/>
      <c r="L82" s="1050"/>
      <c r="M82" s="3560"/>
      <c r="N82" s="3561"/>
      <c r="P82" s="3560"/>
      <c r="Q82" s="3561"/>
      <c r="S82" s="3560">
        <v>15000</v>
      </c>
      <c r="T82" s="3561"/>
      <c r="V82" s="1082"/>
      <c r="W82" s="3689"/>
      <c r="X82" s="3690"/>
      <c r="AZ82" s="2661"/>
      <c r="BA82" s="2246">
        <v>82</v>
      </c>
    </row>
    <row r="83" spans="1:53" s="315" customFormat="1" ht="12" customHeight="1">
      <c r="B83" s="315" t="s">
        <v>1900</v>
      </c>
      <c r="G83" s="3560">
        <v>23500</v>
      </c>
      <c r="H83" s="3561"/>
      <c r="J83" s="3560">
        <v>23500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12500</v>
      </c>
      <c r="H84" s="3561"/>
      <c r="J84" s="3560">
        <v>12500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6285</v>
      </c>
      <c r="C85" s="3758" t="s">
        <v>6726</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417000</v>
      </c>
      <c r="H86" s="3676"/>
      <c r="J86" s="3675">
        <f>SUM(J75:J85)</f>
        <v>402000</v>
      </c>
      <c r="K86" s="3676"/>
      <c r="L86" s="373"/>
      <c r="M86" s="3675">
        <f>SUM(M75:M85)</f>
        <v>0</v>
      </c>
      <c r="N86" s="3676"/>
      <c r="P86" s="3675">
        <f>SUM(P75:P85)</f>
        <v>0</v>
      </c>
      <c r="Q86" s="3676"/>
      <c r="S86" s="3675">
        <f>SUM(S75:S85)</f>
        <v>15000</v>
      </c>
      <c r="T86" s="3676"/>
      <c r="V86" s="1084">
        <f>SUM(V75:V85)</f>
        <v>0</v>
      </c>
      <c r="W86" s="3693"/>
      <c r="X86" s="3694"/>
      <c r="AZ86" s="2661" t="s">
        <v>6387</v>
      </c>
      <c r="BA86" s="2246">
        <v>86</v>
      </c>
    </row>
    <row r="87" spans="1:53" ht="12" customHeight="1">
      <c r="A87" s="315"/>
      <c r="B87" s="317" t="s">
        <v>1194</v>
      </c>
      <c r="C87" s="315"/>
      <c r="D87" s="884" t="s">
        <v>3232</v>
      </c>
      <c r="E87" s="968">
        <f>G92/'Part V-Revenues &amp; Expenses'!$P$67</f>
        <v>524.58000000000004</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17729</v>
      </c>
      <c r="H88" s="3573"/>
      <c r="J88" s="3572">
        <v>17729</v>
      </c>
      <c r="K88" s="3573"/>
      <c r="L88" s="1050"/>
      <c r="M88" s="3572"/>
      <c r="N88" s="3573"/>
      <c r="P88" s="3572"/>
      <c r="Q88" s="3573"/>
      <c r="S88" s="3572"/>
      <c r="T88" s="3573"/>
      <c r="V88" s="1082"/>
      <c r="W88" s="3689"/>
      <c r="X88" s="3690"/>
      <c r="AZ88" s="2661"/>
      <c r="BA88" s="2246">
        <v>88</v>
      </c>
    </row>
    <row r="89" spans="1:53" s="315" customFormat="1" ht="12" customHeight="1">
      <c r="B89" s="315" t="s">
        <v>1196</v>
      </c>
      <c r="G89" s="3560"/>
      <c r="H89" s="3561"/>
      <c r="J89" s="3560"/>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2654</v>
      </c>
      <c r="G90" s="3560">
        <v>6000</v>
      </c>
      <c r="H90" s="3561"/>
      <c r="I90" s="332"/>
      <c r="J90" s="3560">
        <v>6000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2654</v>
      </c>
      <c r="G91" s="3564">
        <v>2500</v>
      </c>
      <c r="H91" s="3565"/>
      <c r="I91" s="332"/>
      <c r="J91" s="3564">
        <v>2500</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26229</v>
      </c>
      <c r="H92" s="3676"/>
      <c r="J92" s="3675">
        <f>SUM(J88:J91)</f>
        <v>26229</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72">
        <v>6000</v>
      </c>
      <c r="H97" s="3573"/>
      <c r="J97" s="3766"/>
      <c r="K97" s="3766"/>
      <c r="L97" s="1050"/>
      <c r="M97" s="3766"/>
      <c r="N97" s="3766"/>
      <c r="P97" s="3766"/>
      <c r="Q97" s="3766"/>
      <c r="S97" s="3572">
        <v>6000</v>
      </c>
      <c r="T97" s="3573"/>
      <c r="V97" s="1082"/>
      <c r="W97" s="3689"/>
      <c r="X97" s="3690"/>
      <c r="AZ97" s="2661" t="s">
        <v>6389</v>
      </c>
      <c r="BA97" s="2246">
        <v>97</v>
      </c>
    </row>
    <row r="98" spans="1:53" s="315" customFormat="1" ht="12" customHeight="1">
      <c r="B98" s="315" t="s">
        <v>1200</v>
      </c>
      <c r="G98" s="3560">
        <v>10000</v>
      </c>
      <c r="H98" s="3561"/>
      <c r="J98" s="3766"/>
      <c r="K98" s="3766"/>
      <c r="L98" s="1050"/>
      <c r="M98" s="3766"/>
      <c r="N98" s="3766"/>
      <c r="P98" s="3766"/>
      <c r="Q98" s="3766"/>
      <c r="S98" s="3560">
        <v>10000</v>
      </c>
      <c r="T98" s="3561"/>
      <c r="V98" s="1082"/>
      <c r="W98" s="3689"/>
      <c r="X98" s="3690"/>
      <c r="AZ98" s="2661"/>
      <c r="BA98" s="2246">
        <v>98</v>
      </c>
    </row>
    <row r="99" spans="1:53" s="315" customFormat="1" ht="12" customHeight="1">
      <c r="B99" s="315" t="s">
        <v>1201</v>
      </c>
      <c r="G99" s="3560">
        <v>10000</v>
      </c>
      <c r="H99" s="3561"/>
      <c r="J99" s="3766"/>
      <c r="K99" s="3766"/>
      <c r="L99" s="1050"/>
      <c r="M99" s="3766"/>
      <c r="N99" s="3766"/>
      <c r="P99" s="3766"/>
      <c r="Q99" s="3766"/>
      <c r="S99" s="3560">
        <v>10000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2122</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6286</v>
      </c>
      <c r="C102" s="3758" t="s">
        <v>6726</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26000</v>
      </c>
      <c r="H103" s="3676"/>
      <c r="J103" s="3766"/>
      <c r="K103" s="3766"/>
      <c r="L103" s="373"/>
      <c r="M103" s="3766"/>
      <c r="N103" s="3766"/>
      <c r="P103" s="3766"/>
      <c r="Q103" s="3766"/>
      <c r="S103" s="3675">
        <f>SUM(S97:S102)</f>
        <v>26000</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6710</v>
      </c>
      <c r="AA105" s="414" t="s">
        <v>6653</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5500</v>
      </c>
      <c r="H106" s="3561"/>
      <c r="J106" s="373"/>
      <c r="K106" s="373"/>
      <c r="L106" s="380"/>
      <c r="M106" s="373"/>
      <c r="N106" s="373"/>
      <c r="P106" s="373"/>
      <c r="Q106" s="373"/>
      <c r="S106" s="3560">
        <v>5500</v>
      </c>
      <c r="T106" s="3561"/>
      <c r="V106" s="1082"/>
      <c r="W106" s="3689"/>
      <c r="X106" s="3690"/>
      <c r="Y106" s="3806"/>
      <c r="AA106" s="2606" t="s">
        <v>3155</v>
      </c>
      <c r="AB106" s="2606"/>
      <c r="AC106" s="2606"/>
      <c r="AD106" s="2607">
        <f>'Part V-Revenues &amp; Expenses'!$P$67</f>
        <v>50</v>
      </c>
      <c r="AZ106" s="2661" t="s">
        <v>6390</v>
      </c>
      <c r="BA106" s="2246">
        <v>106</v>
      </c>
    </row>
    <row r="107" spans="1:53" s="315" customFormat="1" ht="12.6" customHeight="1">
      <c r="B107" s="315" t="s">
        <v>3321</v>
      </c>
      <c r="G107" s="3560">
        <v>1000</v>
      </c>
      <c r="H107" s="3561"/>
      <c r="J107" s="373"/>
      <c r="K107" s="373"/>
      <c r="L107" s="380"/>
      <c r="M107" s="373"/>
      <c r="N107" s="373"/>
      <c r="O107" s="1041"/>
      <c r="P107" s="373"/>
      <c r="Q107" s="373"/>
      <c r="S107" s="3560">
        <v>1000</v>
      </c>
      <c r="T107" s="3561"/>
      <c r="V107" s="1082"/>
      <c r="W107" s="3689"/>
      <c r="X107" s="3690"/>
      <c r="Y107" s="3806"/>
      <c r="Z107" s="2603"/>
      <c r="AA107" s="2608" t="s">
        <v>6715</v>
      </c>
      <c r="AB107" s="185"/>
      <c r="AC107" s="185"/>
      <c r="AD107" s="185"/>
      <c r="AF107" s="2613" t="s">
        <v>6716</v>
      </c>
      <c r="AZ107" s="2661" t="s">
        <v>6391</v>
      </c>
      <c r="BA107" s="2246">
        <v>107</v>
      </c>
    </row>
    <row r="108" spans="1:53" s="315" customFormat="1" ht="12.6" customHeight="1">
      <c r="B108" s="315" t="s">
        <v>486</v>
      </c>
      <c r="E108" s="3769">
        <f>ROUNDUP('DCA Underwriting Assumptions'!$Q$53*J191,0)</f>
        <v>82800</v>
      </c>
      <c r="F108" s="3770"/>
      <c r="G108" s="3560">
        <v>82800</v>
      </c>
      <c r="H108" s="3561"/>
      <c r="J108" s="969" t="str">
        <f>IF(E108&gt;G108,"WARNING!  LIHTC Allocation Fee proposed is below minimum required.","")</f>
        <v/>
      </c>
      <c r="K108" s="373"/>
      <c r="L108" s="1050"/>
      <c r="M108" s="373"/>
      <c r="N108" s="373"/>
      <c r="O108" s="1041"/>
      <c r="P108" s="373"/>
      <c r="Q108" s="373"/>
      <c r="S108" s="3560">
        <v>82800</v>
      </c>
      <c r="T108" s="3561"/>
      <c r="V108" s="1082"/>
      <c r="W108" s="3689"/>
      <c r="X108" s="3690"/>
      <c r="Y108" s="3806"/>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6" customHeight="1">
      <c r="B109" s="315" t="s">
        <v>702</v>
      </c>
      <c r="E109" s="3769">
        <f>AF111+AF115</f>
        <v>50000</v>
      </c>
      <c r="F109" s="3770"/>
      <c r="G109" s="3560">
        <v>50000</v>
      </c>
      <c r="H109" s="3561"/>
      <c r="I109" s="3803" t="str">
        <f>IF(E109&gt;G109,"WARNING!  LIHTC Compliance Fee proposed is below minimum required.","")</f>
        <v/>
      </c>
      <c r="J109" s="3804"/>
      <c r="K109" s="3804"/>
      <c r="L109" s="3804"/>
      <c r="M109" s="3804"/>
      <c r="N109" s="3804"/>
      <c r="O109" s="3804"/>
      <c r="P109" s="3804"/>
      <c r="Q109" s="3804"/>
      <c r="R109" s="3805"/>
      <c r="S109" s="3560">
        <v>50000</v>
      </c>
      <c r="T109" s="3561"/>
      <c r="V109" s="1082"/>
      <c r="W109" s="3689"/>
      <c r="X109" s="3690"/>
      <c r="Y109" s="3806"/>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60">
        <v>3000</v>
      </c>
      <c r="H110" s="3561"/>
      <c r="I110" s="3803"/>
      <c r="J110" s="3804"/>
      <c r="K110" s="3804"/>
      <c r="L110" s="3804"/>
      <c r="M110" s="3804"/>
      <c r="N110" s="3804"/>
      <c r="O110" s="3804"/>
      <c r="P110" s="3804"/>
      <c r="Q110" s="3804"/>
      <c r="R110" s="3805"/>
      <c r="S110" s="3560">
        <v>3000</v>
      </c>
      <c r="T110" s="3561"/>
      <c r="V110" s="1082"/>
      <c r="W110" s="3689"/>
      <c r="X110" s="3690"/>
      <c r="Y110" s="380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6713</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6282</v>
      </c>
      <c r="C112" s="3775" t="s">
        <v>6726</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6714</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6282</v>
      </c>
      <c r="C113" s="3777" t="s">
        <v>6726</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50</v>
      </c>
      <c r="AF113" s="2611">
        <f>IF($AD$105="Income Averaging",AD113*'DCA Underwriting Assumptions'!$Q$58,AD113*'DCA Underwriting Assumptions'!$Q$57)</f>
        <v>50000</v>
      </c>
      <c r="AZ113" s="2661" t="s">
        <v>6393</v>
      </c>
      <c r="BA113" s="2246">
        <v>113</v>
      </c>
    </row>
    <row r="114" spans="1:53" s="315" customFormat="1" ht="12.6" customHeight="1" thickTop="1">
      <c r="F114" s="371" t="s">
        <v>184</v>
      </c>
      <c r="G114" s="3675">
        <f>SUM(G105:G113)</f>
        <v>145300</v>
      </c>
      <c r="H114" s="3676"/>
      <c r="J114" s="373"/>
      <c r="K114" s="373"/>
      <c r="L114" s="1050"/>
      <c r="M114" s="373"/>
      <c r="N114" s="373"/>
      <c r="P114" s="373"/>
      <c r="Q114" s="373"/>
      <c r="S114" s="3675">
        <f>SUM(S105:S113)</f>
        <v>145300</v>
      </c>
      <c r="T114" s="3676"/>
      <c r="V114" s="1084">
        <f>SUM(V105:V113)</f>
        <v>0</v>
      </c>
      <c r="W114" s="3695"/>
      <c r="X114" s="3696"/>
      <c r="AA114" s="509" t="s">
        <v>6486</v>
      </c>
      <c r="AB114" s="185"/>
      <c r="AC114" s="2594"/>
      <c r="AD114" s="2609">
        <f>'Part V-Revenues &amp; Expenses'!$P$138+'Part V-Revenues &amp; Expenses'!$P$139</f>
        <v>0</v>
      </c>
      <c r="AF114" s="2611">
        <f>IF($AD$105="Income Averaging",AD114*'DCA Underwriting Assumptions'!$Q$58,AD114*'DCA Underwriting Assumptions'!$Q$57)</f>
        <v>0</v>
      </c>
      <c r="AZ114" s="2661" t="s">
        <v>6394</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50</v>
      </c>
      <c r="AF115" s="2612">
        <f>SUM(AF113:AF114)</f>
        <v>50000</v>
      </c>
      <c r="AZ115" s="2646"/>
      <c r="BA115" s="2246">
        <v>115</v>
      </c>
    </row>
    <row r="116" spans="1:53" s="315" customFormat="1" ht="12.6" customHeight="1">
      <c r="B116" s="315" t="s">
        <v>267</v>
      </c>
      <c r="G116" s="3572">
        <v>3000</v>
      </c>
      <c r="H116" s="3573"/>
      <c r="J116" s="3766"/>
      <c r="K116" s="3766"/>
      <c r="L116" s="1050"/>
      <c r="M116" s="3766"/>
      <c r="N116" s="3766"/>
      <c r="O116" s="1041"/>
      <c r="P116" s="3766"/>
      <c r="Q116" s="3766"/>
      <c r="S116" s="3572">
        <v>3000</v>
      </c>
      <c r="T116" s="3573"/>
      <c r="V116" s="1082"/>
      <c r="W116" s="3689"/>
      <c r="X116" s="3690"/>
      <c r="AZ116" s="2646"/>
      <c r="BA116" s="2246">
        <v>116</v>
      </c>
    </row>
    <row r="117" spans="1:53" s="315" customFormat="1" ht="12.6" customHeight="1">
      <c r="B117" s="315" t="s">
        <v>268</v>
      </c>
      <c r="G117" s="3560"/>
      <c r="H117" s="3561"/>
      <c r="J117" s="3766"/>
      <c r="K117" s="3766"/>
      <c r="L117" s="1050"/>
      <c r="M117" s="3766"/>
      <c r="N117" s="3766"/>
      <c r="O117" s="1041"/>
      <c r="P117" s="3766"/>
      <c r="Q117" s="3766"/>
      <c r="S117" s="3560"/>
      <c r="T117" s="3561"/>
      <c r="V117" s="1082"/>
      <c r="W117" s="3689"/>
      <c r="X117" s="3690"/>
      <c r="AZ117" s="2646"/>
      <c r="BA117" s="2246">
        <v>117</v>
      </c>
    </row>
    <row r="118" spans="1:53" s="315" customFormat="1" ht="12.6" customHeight="1">
      <c r="B118" s="315" t="s">
        <v>2201</v>
      </c>
      <c r="G118" s="3560"/>
      <c r="H118" s="3561"/>
      <c r="J118" s="3766"/>
      <c r="K118" s="3766"/>
      <c r="L118" s="1050"/>
      <c r="M118" s="3766"/>
      <c r="N118" s="3766"/>
      <c r="O118" s="1041"/>
      <c r="P118" s="3766"/>
      <c r="Q118" s="3766"/>
      <c r="S118" s="3560"/>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6282</v>
      </c>
      <c r="C119" s="3758" t="s">
        <v>6726</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3000</v>
      </c>
      <c r="H120" s="3676"/>
      <c r="J120" s="3766"/>
      <c r="K120" s="3766"/>
      <c r="L120" s="1050"/>
      <c r="M120" s="3766"/>
      <c r="N120" s="3766"/>
      <c r="O120" s="1041"/>
      <c r="P120" s="3766"/>
      <c r="Q120" s="3766"/>
      <c r="S120" s="3675">
        <f>SUM(S116:S119)</f>
        <v>3000</v>
      </c>
      <c r="T120" s="3676"/>
      <c r="V120" s="1084">
        <f>SUM(V116:V119)</f>
        <v>0</v>
      </c>
      <c r="W120" s="3693"/>
      <c r="X120" s="3694"/>
      <c r="AC120" s="3799" t="s">
        <v>3927</v>
      </c>
      <c r="AD120" s="3799" t="s">
        <v>3928</v>
      </c>
      <c r="AE120" s="3801" t="s">
        <v>3931</v>
      </c>
      <c r="AF120" s="3794" t="s">
        <v>3929</v>
      </c>
      <c r="AG120" s="3645" t="s">
        <v>3920</v>
      </c>
      <c r="AH120" s="3636" t="s">
        <v>6747</v>
      </c>
      <c r="AI120" s="3636"/>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800"/>
      <c r="AD121" s="3800"/>
      <c r="AE121" s="3802"/>
      <c r="AF121" s="3795"/>
      <c r="AG121" s="3645"/>
      <c r="AH121" s="3636"/>
      <c r="AI121" s="3636"/>
      <c r="AK121" s="1641"/>
      <c r="AZ121" s="2646" t="s">
        <v>6395</v>
      </c>
      <c r="BA121" s="2245">
        <v>121</v>
      </c>
    </row>
    <row r="122" spans="1:53" s="315" customFormat="1" ht="12.6" customHeight="1">
      <c r="B122" s="315" t="s">
        <v>1724</v>
      </c>
      <c r="F122" s="422">
        <f>IF($G$127=0,0,G122/$G$127)</f>
        <v>0.2</v>
      </c>
      <c r="G122" s="3763">
        <v>265000</v>
      </c>
      <c r="H122" s="3763"/>
      <c r="J122" s="3764">
        <v>265000</v>
      </c>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1375000</v>
      </c>
      <c r="AG122" s="3649">
        <f>'DCA Underwriting Assumptions'!$Q$72</f>
        <v>2000000</v>
      </c>
      <c r="AH122" s="3637">
        <f>MIN(AF122,AG122)</f>
        <v>1375000</v>
      </c>
      <c r="AI122" s="3638"/>
      <c r="AZ122" s="2646"/>
      <c r="BA122" s="2246">
        <v>122</v>
      </c>
    </row>
    <row r="123" spans="1:53" s="315" customFormat="1" ht="12.6" customHeight="1">
      <c r="B123" s="315" t="s">
        <v>3414</v>
      </c>
      <c r="F123" s="1216">
        <v>265000</v>
      </c>
      <c r="G123" s="2594" t="s">
        <v>6727</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47"/>
      <c r="AG123" s="3650"/>
      <c r="AH123" s="3639"/>
      <c r="AI123" s="3640"/>
      <c r="AZ123" s="2646"/>
      <c r="BA123" s="2246">
        <v>123</v>
      </c>
    </row>
    <row r="124" spans="1:53" s="315" customFormat="1" ht="12.6" customHeight="1">
      <c r="B124" s="315" t="s">
        <v>1725</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 customHeight="1">
      <c r="B125" s="315" t="s">
        <v>3167</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1375000</v>
      </c>
      <c r="AG125" s="3646">
        <f>'DCA Underwriting Assumptions'!$Q$73</f>
        <v>3500000</v>
      </c>
      <c r="AH125" s="3637">
        <f>MIN(AF125,AG125)</f>
        <v>1375000</v>
      </c>
      <c r="AI125" s="3638"/>
      <c r="AZ125" s="2646"/>
      <c r="BA125" s="2246">
        <v>125</v>
      </c>
    </row>
    <row r="126" spans="1:53" s="315" customFormat="1" ht="12.6" customHeight="1" thickBot="1">
      <c r="B126" s="315" t="s">
        <v>1717</v>
      </c>
      <c r="F126" s="422">
        <f>IF($G$127=0,0,G126/$G$127)</f>
        <v>0.8</v>
      </c>
      <c r="G126" s="3564">
        <v>1060000</v>
      </c>
      <c r="H126" s="3565"/>
      <c r="J126" s="3564">
        <v>1060000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47"/>
      <c r="AG126" s="3647"/>
      <c r="AH126" s="3639"/>
      <c r="AI126" s="3640"/>
      <c r="AZ126" s="2661"/>
      <c r="BA126" s="2246">
        <v>126</v>
      </c>
    </row>
    <row r="127" spans="1:53" s="315" customFormat="1" ht="12.6" customHeight="1" thickTop="1">
      <c r="A127" s="1656" t="str">
        <f>IF(G127&gt;E127,"DF over limit!  Round down/Enter nbr.","")</f>
        <v/>
      </c>
      <c r="B127" s="2638"/>
      <c r="D127" s="628" t="s">
        <v>3926</v>
      </c>
      <c r="E127" s="2639">
        <f>IF(E121="9%",AH122,IF(E121="4%",AH125,"Select App Type!"))</f>
        <v>1375000</v>
      </c>
      <c r="F127" s="371" t="s">
        <v>184</v>
      </c>
      <c r="G127" s="3675">
        <f>SUM(G122:G126)</f>
        <v>1325000</v>
      </c>
      <c r="H127" s="3760"/>
      <c r="J127" s="3675">
        <f>SUM(J122:J126)</f>
        <v>1325000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6" customHeight="1">
      <c r="B129" s="315" t="s">
        <v>241</v>
      </c>
      <c r="G129" s="3572">
        <v>30000</v>
      </c>
      <c r="H129" s="3573"/>
      <c r="J129" s="381"/>
      <c r="K129" s="381"/>
      <c r="L129" s="381"/>
      <c r="M129" s="381"/>
      <c r="N129" s="381"/>
      <c r="P129" s="381"/>
      <c r="Q129" s="381"/>
      <c r="S129" s="3572">
        <v>30000</v>
      </c>
      <c r="T129" s="3573"/>
      <c r="V129" s="1082"/>
      <c r="W129" s="3689"/>
      <c r="X129" s="3690"/>
      <c r="Z129" s="1652"/>
      <c r="AB129" s="1633"/>
      <c r="AC129"/>
      <c r="AD129"/>
      <c r="AF129"/>
      <c r="AG129"/>
      <c r="AH129"/>
      <c r="AI129"/>
      <c r="AJ129"/>
      <c r="AK129"/>
      <c r="AZ129" s="2661" t="s">
        <v>6397</v>
      </c>
      <c r="BA129" s="2246">
        <v>129</v>
      </c>
    </row>
    <row r="130" spans="1:53" s="315" customFormat="1" ht="12.6" customHeight="1">
      <c r="B130" s="315" t="s">
        <v>1437</v>
      </c>
      <c r="F130" s="477">
        <f>+'Part V-Revenues &amp; Expenses'!$Q$228*('DCA Underwriting Assumptions'!$Q$87/12)</f>
        <v>56127.75</v>
      </c>
      <c r="G130" s="3560">
        <v>56128</v>
      </c>
      <c r="H130" s="3561"/>
      <c r="J130" s="971" t="str">
        <f>IF(E130&gt;G130,"WARNING! Rent-Up Reserves proposed is below minimum - add comment.","")</f>
        <v/>
      </c>
      <c r="K130" s="971"/>
      <c r="L130" s="1050"/>
      <c r="M130" s="951"/>
      <c r="N130" s="951"/>
      <c r="O130" s="1041"/>
      <c r="P130" s="951"/>
      <c r="Q130" s="951"/>
      <c r="R130" s="1041"/>
      <c r="S130" s="3560">
        <v>56128</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146405.89791850458</v>
      </c>
      <c r="G131" s="3560">
        <v>146406</v>
      </c>
      <c r="H131" s="3561"/>
      <c r="J131" s="971" t="str">
        <f>IF(E131&gt;G131,"WARNING! ODR proposed is below minimum - add comment.","")</f>
        <v/>
      </c>
      <c r="K131" s="380"/>
      <c r="L131" s="380"/>
      <c r="M131" s="380"/>
      <c r="N131" s="380"/>
      <c r="O131" s="1041"/>
      <c r="P131" s="380"/>
      <c r="Q131" s="380"/>
      <c r="R131" s="1041"/>
      <c r="S131" s="3560">
        <v>146406</v>
      </c>
      <c r="T131" s="3561"/>
      <c r="V131" s="1082"/>
      <c r="W131" s="3689"/>
      <c r="X131" s="3690"/>
      <c r="Y131" s="27"/>
      <c r="Z131" s="1653"/>
      <c r="AB131" s="1632"/>
      <c r="AD131"/>
      <c r="AG131"/>
      <c r="AH131"/>
      <c r="AI131"/>
      <c r="AZ131" s="2661"/>
      <c r="BA131" s="2246">
        <v>131</v>
      </c>
    </row>
    <row r="132" spans="1:53" s="315" customFormat="1" ht="12.6" customHeight="1">
      <c r="B132" s="315" t="s">
        <v>1171</v>
      </c>
      <c r="G132" s="3560"/>
      <c r="H132" s="3561"/>
      <c r="J132" s="381"/>
      <c r="K132" s="381"/>
      <c r="L132" s="381"/>
      <c r="M132" s="381"/>
      <c r="N132" s="381"/>
      <c r="P132" s="381"/>
      <c r="Q132" s="381"/>
      <c r="S132" s="3560"/>
      <c r="T132" s="3561"/>
      <c r="V132" s="1082"/>
      <c r="W132" s="3689"/>
      <c r="X132" s="3690"/>
      <c r="AZ132" s="2661" t="s">
        <v>6398</v>
      </c>
      <c r="BA132" s="2246">
        <v>132</v>
      </c>
    </row>
    <row r="133" spans="1:53" s="315" customFormat="1" ht="12.6" customHeight="1">
      <c r="B133" s="315" t="s">
        <v>1172</v>
      </c>
      <c r="E133" s="840" t="s">
        <v>3141</v>
      </c>
      <c r="F133" s="477">
        <f>IF('Part V-Revenues &amp; Expenses'!$P$67=0,0,G133/'Part V-Revenues &amp; Expenses'!$P$67)</f>
        <v>1100</v>
      </c>
      <c r="G133" s="3560">
        <v>55000</v>
      </c>
      <c r="H133" s="3561"/>
      <c r="J133" s="3572">
        <v>55000</v>
      </c>
      <c r="K133" s="3573"/>
      <c r="L133" s="1050"/>
      <c r="M133" s="3572"/>
      <c r="N133" s="3573"/>
      <c r="P133" s="3572"/>
      <c r="Q133" s="3573"/>
      <c r="S133" s="3560"/>
      <c r="T133" s="3561"/>
      <c r="V133" s="1082"/>
      <c r="W133" s="3689"/>
      <c r="X133" s="3690"/>
      <c r="AZ133" s="2661" t="s">
        <v>6399</v>
      </c>
      <c r="BA133" s="2246">
        <v>133</v>
      </c>
    </row>
    <row r="134" spans="1:53" s="315" customFormat="1" ht="12.6" customHeight="1" thickBot="1">
      <c r="A134" s="396" t="str">
        <f>IF(AND(G134&gt;0,OR(C134="",C134="&lt;Enter detailed description here; use Comments section if needed&gt;")),"X","")</f>
        <v/>
      </c>
      <c r="B134" s="185" t="s">
        <v>6282</v>
      </c>
      <c r="C134" s="3758" t="s">
        <v>6726</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287534</v>
      </c>
      <c r="H135" s="3676"/>
      <c r="J135" s="3675">
        <f>SUM(J133:J134)</f>
        <v>55000</v>
      </c>
      <c r="K135" s="3676"/>
      <c r="L135" s="1050"/>
      <c r="M135" s="3675">
        <f>SUM(M133:M134)</f>
        <v>0</v>
      </c>
      <c r="N135" s="3676"/>
      <c r="P135" s="3675">
        <f>SUM(P133:P134)</f>
        <v>0</v>
      </c>
      <c r="Q135" s="3676"/>
      <c r="S135" s="3675">
        <f>SUM(S129:S134)</f>
        <v>232534</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6282</v>
      </c>
      <c r="C143" s="3758" t="s">
        <v>6963</v>
      </c>
      <c r="D143" s="3758"/>
      <c r="E143" s="3758"/>
      <c r="F143" s="3759"/>
      <c r="G143" s="3564">
        <v>50000</v>
      </c>
      <c r="H143" s="3565"/>
      <c r="J143" s="3564"/>
      <c r="K143" s="3565"/>
      <c r="L143" s="1050"/>
      <c r="M143" s="3564"/>
      <c r="N143" s="3565"/>
      <c r="P143" s="3564"/>
      <c r="Q143" s="3565"/>
      <c r="S143" s="3564">
        <v>50000</v>
      </c>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50000</v>
      </c>
      <c r="H144" s="3676"/>
      <c r="J144" s="3675">
        <f>SUM(J142:J143)</f>
        <v>0</v>
      </c>
      <c r="K144" s="3676"/>
      <c r="L144" s="1050"/>
      <c r="M144" s="3675">
        <f>SUM(M142:M143)</f>
        <v>0</v>
      </c>
      <c r="N144" s="3676"/>
      <c r="P144" s="3675">
        <f>SUM(P142:P143)</f>
        <v>0</v>
      </c>
      <c r="Q144" s="3676"/>
      <c r="S144" s="3675">
        <f>SUM(S142:S143)</f>
        <v>50000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660">
        <f>G18+G24+G28+G36+G41+G46+G55+G73+G86+G92+G103+G114+G120+G127+G135+G144</f>
        <v>13471860</v>
      </c>
      <c r="H146" s="3661"/>
      <c r="J146" s="3660">
        <f>J18+J24+J28+J36+J41+J46+J55+J73+J86+J92+J103+J114+J120+J127+J135+J144</f>
        <v>12435611</v>
      </c>
      <c r="K146" s="3661"/>
      <c r="M146" s="3660">
        <f>M18+M24+M28+M36+M41+M46+M55+M73+M86+M92+M103+M114+M120+M127+M135+M144</f>
        <v>0</v>
      </c>
      <c r="N146" s="3661"/>
      <c r="P146" s="3660">
        <f>P18+P24+P28+P36+P41+P46+P55+P73+P86+P92+P103+P114+P120+P127+P135+P144</f>
        <v>0</v>
      </c>
      <c r="Q146" s="3661"/>
      <c r="S146" s="3660">
        <f>S18+S24+S28+S36+S41+S46+S55+S73+S86+S92+S103+S114+S120+S127+S135+S144</f>
        <v>1036249</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672">
        <f>IF('Part V-Revenues &amp; Expenses'!$P$67=0,0,G146/'Part V-Revenues &amp; Expenses'!$P$67)</f>
        <v>269437.2</v>
      </c>
      <c r="E148" s="3672"/>
      <c r="F148" s="513" t="s">
        <v>2489</v>
      </c>
      <c r="G148" s="3673">
        <f>IF('Part V-Revenues &amp; Expenses'!$K$175=0,0,G146/'Part V-Revenues &amp; Expenses'!$K$175)</f>
        <v>263.53403755868544</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v>0</v>
      </c>
      <c r="K153" s="3657"/>
      <c r="P153" s="3656"/>
      <c r="Q153" s="3657"/>
      <c r="V153" s="1082"/>
      <c r="W153" s="3689"/>
      <c r="X153" s="3690"/>
      <c r="AZ153" s="2661"/>
      <c r="BA153" s="2246">
        <v>153</v>
      </c>
    </row>
    <row r="154" spans="1:53" s="315" customFormat="1" ht="14.1" customHeight="1">
      <c r="B154" s="1041" t="s">
        <v>1999</v>
      </c>
      <c r="D154" s="1041"/>
      <c r="E154" s="1041"/>
      <c r="F154" s="1041"/>
      <c r="G154" s="1041"/>
      <c r="H154" s="1041"/>
      <c r="I154" s="385"/>
      <c r="J154" s="3658">
        <v>0</v>
      </c>
      <c r="K154" s="3659"/>
      <c r="P154" s="3658"/>
      <c r="Q154" s="3659"/>
      <c r="V154" s="1082"/>
      <c r="W154" s="3689"/>
      <c r="X154" s="3690"/>
      <c r="AZ154" s="2661"/>
      <c r="BA154" s="2246">
        <v>154</v>
      </c>
    </row>
    <row r="155" spans="1:53" s="315" customFormat="1" ht="14.1" customHeight="1">
      <c r="B155" s="1041" t="s">
        <v>1727</v>
      </c>
      <c r="D155" s="1041"/>
      <c r="E155" s="1041"/>
      <c r="I155" s="385"/>
      <c r="J155" s="3658">
        <v>0</v>
      </c>
      <c r="K155" s="3659"/>
      <c r="P155" s="3658"/>
      <c r="Q155" s="3659"/>
      <c r="V155" s="1082"/>
      <c r="W155" s="3689"/>
      <c r="X155" s="3690"/>
      <c r="AZ155" s="2661"/>
      <c r="BA155" s="2246">
        <v>155</v>
      </c>
    </row>
    <row r="156" spans="1:53" s="315" customFormat="1" ht="14.1" customHeight="1">
      <c r="B156" s="1041" t="s">
        <v>1728</v>
      </c>
      <c r="D156" s="1041"/>
      <c r="E156" s="1041"/>
      <c r="I156" s="385"/>
      <c r="J156" s="3658">
        <v>0</v>
      </c>
      <c r="K156" s="3659"/>
      <c r="P156" s="3658"/>
      <c r="Q156" s="3659"/>
      <c r="V156" s="1082"/>
      <c r="W156" s="3689"/>
      <c r="X156" s="3690"/>
      <c r="AZ156" s="2661"/>
      <c r="BA156" s="2246">
        <v>156</v>
      </c>
    </row>
    <row r="157" spans="1:53" s="315" customFormat="1" ht="14.1" customHeight="1">
      <c r="B157" s="1041" t="s">
        <v>243</v>
      </c>
      <c r="D157" s="1041"/>
      <c r="E157" s="1041"/>
      <c r="I157" s="385"/>
      <c r="J157" s="3658">
        <v>0</v>
      </c>
      <c r="K157" s="3659"/>
      <c r="P157" s="3658"/>
      <c r="Q157" s="3659"/>
      <c r="V157" s="1082"/>
      <c r="W157" s="3689"/>
      <c r="X157" s="3690"/>
      <c r="AZ157" s="2661"/>
      <c r="BA157" s="2246">
        <v>157</v>
      </c>
    </row>
    <row r="158" spans="1:53" s="315" customFormat="1" ht="14.1" customHeight="1" thickBot="1">
      <c r="B158" s="1041" t="s">
        <v>1497</v>
      </c>
      <c r="C158" s="3643" t="s">
        <v>2225</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1729</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718">
        <f>J146</f>
        <v>12435611</v>
      </c>
      <c r="K162" s="3720"/>
      <c r="M162" s="3811">
        <f>M146</f>
        <v>0</v>
      </c>
      <c r="N162" s="3812"/>
      <c r="P162" s="3718">
        <f>P146</f>
        <v>0</v>
      </c>
      <c r="Q162" s="3720"/>
      <c r="R162" s="3678" t="s">
        <v>3776</v>
      </c>
      <c r="S162" s="3679"/>
      <c r="T162" s="3679"/>
      <c r="V162" s="1082"/>
      <c r="W162" s="3689"/>
      <c r="X162" s="3690"/>
      <c r="AZ162" s="2661"/>
      <c r="BA162" s="2246">
        <v>162</v>
      </c>
    </row>
    <row r="163" spans="1:53" s="315" customFormat="1" ht="14.1"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2054</v>
      </c>
      <c r="J164" s="3721">
        <f>J162-J163</f>
        <v>12435611</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1647</v>
      </c>
      <c r="I165" s="3738"/>
      <c r="J165" s="3739">
        <v>1</v>
      </c>
      <c r="K165" s="3740"/>
      <c r="M165" s="3741"/>
      <c r="N165" s="3741"/>
      <c r="P165" s="3739"/>
      <c r="Q165" s="3740"/>
      <c r="R165" s="3680" t="s">
        <v>3208</v>
      </c>
      <c r="S165" s="3681"/>
      <c r="T165" s="3682"/>
      <c r="U165" s="1477"/>
      <c r="V165" s="1082"/>
      <c r="W165" s="3689"/>
      <c r="X165" s="3690"/>
      <c r="AZ165" s="2661"/>
      <c r="BA165" s="2246">
        <v>165</v>
      </c>
    </row>
    <row r="166" spans="1:53" s="315" customFormat="1" ht="14.1" customHeight="1">
      <c r="B166" s="315" t="s">
        <v>1904</v>
      </c>
      <c r="J166" s="3721">
        <f>J164*J165</f>
        <v>12435611</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2340</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1" customHeight="1">
      <c r="B168" s="315" t="s">
        <v>1896</v>
      </c>
      <c r="J168" s="3721">
        <f>J166*J167</f>
        <v>12435611</v>
      </c>
      <c r="K168" s="3723"/>
      <c r="M168" s="3721">
        <f>M166*M167</f>
        <v>0</v>
      </c>
      <c r="N168" s="3723"/>
      <c r="P168" s="3721">
        <f>P166*P167</f>
        <v>0</v>
      </c>
      <c r="Q168" s="3723"/>
      <c r="V168" s="1082"/>
      <c r="W168" s="3689"/>
      <c r="X168" s="3690"/>
      <c r="AZ168" s="2661"/>
      <c r="BA168" s="2246">
        <v>168</v>
      </c>
    </row>
    <row r="169" spans="1:53" s="315" customFormat="1" ht="14.1" customHeight="1">
      <c r="B169" s="315" t="s">
        <v>1897</v>
      </c>
      <c r="J169" s="3739">
        <v>0.09</v>
      </c>
      <c r="K169" s="3740"/>
      <c r="M169" s="3739"/>
      <c r="N169" s="3740"/>
      <c r="P169" s="3739"/>
      <c r="Q169" s="3740"/>
      <c r="V169" s="1082"/>
      <c r="W169" s="3689"/>
      <c r="X169" s="3690"/>
      <c r="AZ169" s="2661"/>
      <c r="BA169" s="2246">
        <v>169</v>
      </c>
    </row>
    <row r="170" spans="1:53" s="315" customFormat="1" ht="14.1" customHeight="1" thickBot="1">
      <c r="B170" s="315" t="s">
        <v>2341</v>
      </c>
      <c r="J170" s="3744">
        <f>J168*J169</f>
        <v>1119204.99</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1119204</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718">
        <f>G146</f>
        <v>13471860</v>
      </c>
      <c r="K176" s="3719"/>
      <c r="L176" s="3720"/>
      <c r="N176" s="3748" t="s">
        <v>6721</v>
      </c>
      <c r="O176" s="3749"/>
      <c r="P176" s="3749"/>
      <c r="Q176" s="3750"/>
      <c r="S176" s="3714" t="s">
        <v>3191</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600110</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2065</v>
      </c>
      <c r="J178" s="3724">
        <f>+J176-J177</f>
        <v>12871750</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t="s">
        <v>2654</v>
      </c>
      <c r="V179" s="1082"/>
      <c r="W179" s="3689"/>
      <c r="X179" s="3690"/>
      <c r="AZ179" s="2661"/>
      <c r="BA179" s="2246">
        <v>179</v>
      </c>
    </row>
    <row r="180" spans="1:53" s="315" customFormat="1" ht="14.1" customHeight="1">
      <c r="B180" s="315" t="s">
        <v>1211</v>
      </c>
      <c r="J180" s="3730">
        <f>J178/10</f>
        <v>1287175</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1.24</v>
      </c>
      <c r="K182" s="3706"/>
      <c r="L182" s="3707"/>
      <c r="M182" s="1036" t="s">
        <v>1213</v>
      </c>
      <c r="N182" s="3708">
        <v>0.85</v>
      </c>
      <c r="O182" s="3709"/>
      <c r="P182" s="1036" t="s">
        <v>570</v>
      </c>
      <c r="Q182" s="3708">
        <v>0.39</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1038044</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6720</v>
      </c>
      <c r="J187" s="3711">
        <v>1035000</v>
      </c>
      <c r="K187" s="3712"/>
      <c r="L187" s="3713"/>
      <c r="Q187" s="2172" t="s">
        <v>6254</v>
      </c>
      <c r="R187" s="185"/>
      <c r="S187" s="3809" t="str">
        <f>'Part VIII Scoring Criteria'!$M$59</f>
        <v>Rural</v>
      </c>
      <c r="T187" s="3810"/>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11">
        <v>1035000</v>
      </c>
      <c r="K189" s="3712"/>
      <c r="L189" s="3713"/>
      <c r="M189" s="3747" t="str">
        <f>IF(J187=0,"",IF(J189&gt;J187,"Request can't exceed Maximum - REVISE (Try Round Down)!",""))</f>
        <v/>
      </c>
      <c r="N189" s="3747"/>
      <c r="O189" s="3747"/>
      <c r="P189" s="3747"/>
      <c r="Q189" s="313" t="s">
        <v>6551</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33">
        <f>IF(J189="",0,+MIN(J187,J189))</f>
        <v>1035000</v>
      </c>
      <c r="K191" s="3734"/>
      <c r="L191" s="3735"/>
      <c r="M191" s="3747"/>
      <c r="N191" s="3747"/>
      <c r="O191" s="3747"/>
      <c r="P191" s="3747"/>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6990</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2453</v>
      </c>
      <c r="X195" s="3488"/>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7" zoomScaleNormal="100" workbookViewId="0">
      <selection activeCell="F89" sqref="F89"/>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8" t="str">
        <f>CONCATENATE("PART THREE (B) -  OTHER COSTS","  -  ",'Part I-Project Identification'!$O$7," - ",'Part I-Project Identification'!$F$29,"  -  ",'Part I-Project Identification'!$F$30,"  -  ",'Part I-Project Identification'!$J$30,",  ","County")</f>
        <v>PART THREE (B) -  OTHER COSTS  -  2022-0 - Cypress Reserve  -  Adel  -  Cook,  County</v>
      </c>
      <c r="B1" s="3829"/>
      <c r="C1" s="3829"/>
      <c r="D1" s="3829"/>
      <c r="E1" s="3829"/>
      <c r="F1" s="3829"/>
      <c r="G1" s="3829"/>
      <c r="H1" s="3829"/>
      <c r="I1" s="923"/>
      <c r="J1" s="923"/>
      <c r="K1" s="923"/>
      <c r="L1" s="923"/>
      <c r="M1" s="923"/>
      <c r="N1" s="923"/>
    </row>
    <row r="2" spans="1:14" ht="9" customHeight="1"/>
    <row r="3" spans="1:14" ht="57" customHeight="1">
      <c r="A3" s="3830" t="s">
        <v>3218</v>
      </c>
      <c r="B3" s="3831"/>
      <c r="C3" s="3831"/>
      <c r="D3" s="3831"/>
      <c r="E3" s="3831"/>
      <c r="F3" s="3831"/>
      <c r="G3" s="3831"/>
      <c r="H3" s="3832"/>
    </row>
    <row r="4" spans="1:14" ht="6" customHeight="1"/>
    <row r="5" spans="1:14" ht="38.25" customHeight="1">
      <c r="A5" s="3833" t="s">
        <v>3279</v>
      </c>
      <c r="B5" s="3833"/>
      <c r="C5" s="3833"/>
      <c r="D5" s="3833"/>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3213</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3213</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3213</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3212</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25.5">
      <c r="A28" s="936" t="s">
        <v>3213</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3213</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3213</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3213</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3213</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3214</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25.5">
      <c r="A57" s="936" t="s">
        <v>3213</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25.5">
      <c r="A62" s="936" t="s">
        <v>3213</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3215</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25.5">
      <c r="A68" s="936" t="s">
        <v>3213</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3213</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3216</v>
      </c>
      <c r="B76" s="928"/>
      <c r="C76" s="927"/>
      <c r="D76" s="927"/>
      <c r="E76" s="927"/>
      <c r="F76" s="927"/>
      <c r="G76" s="929"/>
    </row>
    <row r="77" spans="1:8" s="926" customFormat="1" ht="41.25" customHeight="1">
      <c r="A77" s="3813" t="str">
        <f>'Part III-A-Uses of Funds'!$C$143</f>
        <v>Community Improvement Fund</v>
      </c>
      <c r="B77" s="3814"/>
      <c r="C77" s="3814"/>
      <c r="D77" s="3815"/>
      <c r="F77" s="3819" t="s">
        <v>6985</v>
      </c>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3213</v>
      </c>
      <c r="B80" s="935">
        <f>'Part III-A-Uses of Funds'!$G$143</f>
        <v>50000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zoomScaleNormal="100" workbookViewId="0">
      <selection activeCell="I41" sqref="I4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Cypress Reserve, Adel, Cook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6742</v>
      </c>
      <c r="I3" s="1660" t="str">
        <f>VLOOKUP('Part I-Project Identification'!$J$30,'DCA Underwriting Assumptions'!$G$136:$H$295,2)</f>
        <v>South</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6946</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44562</v>
      </c>
      <c r="J8" s="3854"/>
      <c r="K8" s="6" t="s">
        <v>505</v>
      </c>
      <c r="L8" s="3855" t="s">
        <v>6298</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6909</v>
      </c>
      <c r="E12" s="3844"/>
      <c r="F12" s="272" t="s">
        <v>416</v>
      </c>
      <c r="G12" s="272"/>
      <c r="H12" s="1017"/>
      <c r="I12" s="1601"/>
      <c r="J12" s="1601">
        <v>4</v>
      </c>
      <c r="K12" s="1601">
        <v>5</v>
      </c>
      <c r="L12" s="1601">
        <v>6</v>
      </c>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7</v>
      </c>
      <c r="K13" s="1602">
        <v>9</v>
      </c>
      <c r="L13" s="1603">
        <v>12</v>
      </c>
      <c r="M13" s="1603"/>
      <c r="O13" s="3834" t="s">
        <v>3278</v>
      </c>
      <c r="P13" s="3834"/>
      <c r="Q13" s="3834"/>
    </row>
    <row r="14" spans="1:25" s="8" customFormat="1" ht="12" customHeight="1">
      <c r="B14" s="1610" t="s">
        <v>1494</v>
      </c>
      <c r="C14" s="1611"/>
      <c r="D14" s="3845" t="s">
        <v>1492</v>
      </c>
      <c r="E14" s="3846"/>
      <c r="F14" s="273" t="s">
        <v>416</v>
      </c>
      <c r="G14" s="273"/>
      <c r="H14" s="268"/>
      <c r="I14" s="1602"/>
      <c r="J14" s="1602">
        <v>14</v>
      </c>
      <c r="K14" s="1602">
        <v>18</v>
      </c>
      <c r="L14" s="1603">
        <v>23</v>
      </c>
      <c r="M14" s="1603"/>
      <c r="O14" s="3834"/>
      <c r="P14" s="3834"/>
      <c r="Q14" s="3834"/>
    </row>
    <row r="15" spans="1:25" s="8" customFormat="1" ht="12" customHeight="1">
      <c r="B15" s="1612" t="s">
        <v>440</v>
      </c>
      <c r="C15" s="1613"/>
      <c r="D15" s="1612" t="s">
        <v>1492</v>
      </c>
      <c r="E15" s="269"/>
      <c r="F15" s="273" t="s">
        <v>416</v>
      </c>
      <c r="G15" s="273"/>
      <c r="H15" s="1015"/>
      <c r="I15" s="1602"/>
      <c r="J15" s="1602">
        <v>10</v>
      </c>
      <c r="K15" s="1602">
        <v>13</v>
      </c>
      <c r="L15" s="1603">
        <v>16</v>
      </c>
      <c r="M15" s="1603"/>
      <c r="O15" s="3834"/>
      <c r="P15" s="3834"/>
      <c r="Q15" s="3834"/>
    </row>
    <row r="16" spans="1:25" s="8" customFormat="1" ht="12" customHeight="1">
      <c r="B16" s="1614" t="s">
        <v>3272</v>
      </c>
      <c r="C16" s="1609"/>
      <c r="D16" s="1608" t="s">
        <v>1492</v>
      </c>
      <c r="E16" s="1014"/>
      <c r="F16" s="273"/>
      <c r="G16" s="273" t="s">
        <v>416</v>
      </c>
      <c r="H16" s="1016"/>
      <c r="I16" s="1602"/>
      <c r="J16" s="1602"/>
      <c r="K16" s="1602"/>
      <c r="L16" s="1603"/>
      <c r="M16" s="1603"/>
      <c r="O16" s="3834"/>
      <c r="P16" s="3834"/>
      <c r="Q16" s="3834"/>
    </row>
    <row r="17" spans="1:25" s="8" customFormat="1" ht="12" customHeight="1">
      <c r="B17" s="1614" t="s">
        <v>3273</v>
      </c>
      <c r="C17" s="1609"/>
      <c r="D17" s="1608" t="s">
        <v>1492</v>
      </c>
      <c r="E17" s="1014"/>
      <c r="F17" s="273"/>
      <c r="G17" s="273" t="s">
        <v>416</v>
      </c>
      <c r="H17" s="1016"/>
      <c r="I17" s="1602"/>
      <c r="J17" s="1602"/>
      <c r="K17" s="1602"/>
      <c r="L17" s="1603"/>
      <c r="M17" s="1603"/>
      <c r="O17" s="3834"/>
      <c r="P17" s="3834"/>
      <c r="Q17" s="3834"/>
    </row>
    <row r="18" spans="1:25" s="8" customFormat="1" ht="12" customHeight="1">
      <c r="B18" s="1615" t="s">
        <v>3274</v>
      </c>
      <c r="C18" s="1611"/>
      <c r="D18" s="1610" t="s">
        <v>1492</v>
      </c>
      <c r="E18" s="1014"/>
      <c r="F18" s="273" t="s">
        <v>416</v>
      </c>
      <c r="G18" s="273"/>
      <c r="H18" s="268"/>
      <c r="I18" s="1602"/>
      <c r="J18" s="1602">
        <v>21</v>
      </c>
      <c r="K18" s="1602">
        <v>27</v>
      </c>
      <c r="L18" s="1603">
        <v>33</v>
      </c>
      <c r="M18" s="1603"/>
      <c r="O18" s="3834"/>
      <c r="P18" s="3834"/>
      <c r="Q18" s="3834"/>
    </row>
    <row r="19" spans="1:25" s="8" customFormat="1" ht="12" customHeight="1">
      <c r="B19" s="1612" t="s">
        <v>1293</v>
      </c>
      <c r="C19" s="1613"/>
      <c r="D19" s="1618" t="s">
        <v>3079</v>
      </c>
      <c r="E19" s="1600" t="s">
        <v>2651</v>
      </c>
      <c r="F19" s="273" t="s">
        <v>416</v>
      </c>
      <c r="G19" s="273"/>
      <c r="H19" s="1015"/>
      <c r="I19" s="1602"/>
      <c r="J19" s="1602">
        <v>41</v>
      </c>
      <c r="K19" s="1602">
        <v>52</v>
      </c>
      <c r="L19" s="1603">
        <v>64</v>
      </c>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3278</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3272</v>
      </c>
      <c r="C33" s="1609"/>
      <c r="D33" s="1608" t="s">
        <v>1492</v>
      </c>
      <c r="E33" s="1014"/>
      <c r="F33" s="273"/>
      <c r="G33" s="273"/>
      <c r="H33" s="1016"/>
      <c r="I33" s="1602"/>
      <c r="J33" s="1602"/>
      <c r="K33" s="1602"/>
      <c r="L33" s="1603"/>
      <c r="M33" s="1603"/>
      <c r="O33" s="3834"/>
      <c r="P33" s="3834"/>
      <c r="Q33" s="3834"/>
    </row>
    <row r="34" spans="1:19" s="8" customFormat="1" ht="12" customHeight="1">
      <c r="B34" s="1614" t="s">
        <v>3273</v>
      </c>
      <c r="C34" s="1609"/>
      <c r="D34" s="1608" t="s">
        <v>1492</v>
      </c>
      <c r="E34" s="1014"/>
      <c r="F34" s="273"/>
      <c r="G34" s="273"/>
      <c r="H34" s="1016"/>
      <c r="I34" s="1602"/>
      <c r="J34" s="1602"/>
      <c r="K34" s="1602"/>
      <c r="L34" s="1603"/>
      <c r="M34" s="1603"/>
      <c r="O34" s="3834"/>
      <c r="P34" s="3834"/>
      <c r="Q34" s="3834"/>
    </row>
    <row r="35" spans="1:19" s="8" customFormat="1" ht="12" customHeight="1">
      <c r="B35" s="1615" t="s">
        <v>3274</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6986</v>
      </c>
      <c r="C43" s="3836"/>
      <c r="D43" s="3836"/>
      <c r="E43" s="3836"/>
      <c r="F43" s="3836"/>
      <c r="G43" s="3836"/>
      <c r="H43" s="3836"/>
      <c r="I43" s="3836"/>
      <c r="J43" s="3836"/>
      <c r="K43" s="3836"/>
      <c r="L43" s="3836"/>
      <c r="M43" s="3837"/>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James Cox</cp:lastModifiedBy>
  <cp:lastPrinted>2022-05-27T15:10:52Z</cp:lastPrinted>
  <dcterms:created xsi:type="dcterms:W3CDTF">2005-09-15T20:51:37Z</dcterms:created>
  <dcterms:modified xsi:type="dcterms:W3CDTF">2022-05-27T15:19:08Z</dcterms:modified>
</cp:coreProperties>
</file>